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968" firstSheet="10" activeTab="33"/>
  </bookViews>
  <sheets>
    <sheet name="Z_TARTALOMJEGYZÉK" sheetId="1" r:id="rId1"/>
    <sheet name="Z_ALAPADATOK" sheetId="2" r:id="rId2"/>
    <sheet name="Z_ÖSSZEFÜGGÉSEK" sheetId="3" r:id="rId3"/>
    <sheet name="1 " sheetId="4" r:id="rId4"/>
    <sheet name="2" sheetId="5" r:id="rId5"/>
    <sheet name="3" sheetId="6" r:id="rId6"/>
    <sheet name="4" sheetId="7" r:id="rId7"/>
    <sheet name="5" sheetId="8" r:id="rId8"/>
    <sheet name="6" sheetId="9" r:id="rId9"/>
    <sheet name="Z_ELLENŐRZÉS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23" sheetId="27" r:id="rId27"/>
    <sheet name="24" sheetId="28" r:id="rId28"/>
    <sheet name="25" sheetId="29" r:id="rId29"/>
    <sheet name="26" sheetId="30" r:id="rId30"/>
    <sheet name="27" sheetId="31" r:id="rId31"/>
    <sheet name="28" sheetId="32" r:id="rId32"/>
    <sheet name="29" sheetId="33" r:id="rId33"/>
    <sheet name="30" sheetId="34" r:id="rId34"/>
    <sheet name="31" sheetId="35" r:id="rId35"/>
    <sheet name="32" sheetId="36" r:id="rId36"/>
    <sheet name="33" sheetId="37" r:id="rId37"/>
    <sheet name="34" sheetId="38" r:id="rId38"/>
  </sheets>
  <definedNames>
    <definedName name="_ftn1" localSheetId="35">'32'!$A$31</definedName>
    <definedName name="_ftnref1" localSheetId="35">'32'!$A$22</definedName>
    <definedName name="_xlfn.IFERROR" hidden="1">#NAME?</definedName>
    <definedName name="_xlnm.Print_Titles" localSheetId="13">'10'!$1:$6</definedName>
    <definedName name="_xlnm.Print_Titles" localSheetId="14">'11'!$1:$6</definedName>
    <definedName name="_xlnm.Print_Titles" localSheetId="15">'12'!$1:$6</definedName>
    <definedName name="_xlnm.Print_Titles" localSheetId="16">'13'!$1:$6</definedName>
    <definedName name="_xlnm.Print_Titles" localSheetId="17">'14'!$1:$6</definedName>
    <definedName name="_xlnm.Print_Titles" localSheetId="18">'15'!$1:$6</definedName>
    <definedName name="_xlnm.Print_Titles" localSheetId="19">'16'!$1:$6</definedName>
    <definedName name="_xlnm.Print_Titles" localSheetId="20">'17'!$1:$6</definedName>
    <definedName name="_xlnm.Print_Titles" localSheetId="21">'18'!$1:$6</definedName>
    <definedName name="_xlnm.Print_Titles" localSheetId="22">'19'!$1:$6</definedName>
    <definedName name="_xlnm.Print_Titles" localSheetId="23">'20'!$1:$6</definedName>
    <definedName name="_xlnm.Print_Titles" localSheetId="24">'21'!$1:$6</definedName>
    <definedName name="_xlnm.Print_Titles" localSheetId="33">'30'!$5:$9</definedName>
    <definedName name="_xlnm.Print_Area" localSheetId="3">'1 '!$A$1:$E$166</definedName>
    <definedName name="_xlnm.Print_Area" localSheetId="4">'2'!$A$1:$E$166</definedName>
    <definedName name="_xlnm.Print_Area" localSheetId="27">'24'!$A$1:$E$155</definedName>
    <definedName name="_xlnm.Print_Area" localSheetId="5">'3'!$A$1:$E$166</definedName>
    <definedName name="_xlnm.Print_Area" localSheetId="6">'4'!$A$1:$E$166</definedName>
  </definedNames>
  <calcPr fullCalcOnLoad="1"/>
</workbook>
</file>

<file path=xl/sharedStrings.xml><?xml version="1.0" encoding="utf-8"?>
<sst xmlns="http://schemas.openxmlformats.org/spreadsheetml/2006/main" count="5192" uniqueCount="982">
  <si>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</si>
  <si>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</si>
  <si>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</si>
  <si>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</si>
  <si>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</si>
  <si>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</si>
  <si>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</si>
  <si>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</si>
  <si>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</si>
  <si>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</si>
  <si>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</si>
  <si>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</si>
  <si>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</si>
  <si>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</si>
  <si>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</si>
  <si>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</si>
  <si>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</si>
  <si>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</si>
  <si>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</si>
  <si>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</si>
  <si>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</si>
  <si>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</si>
  <si>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</si>
  <si>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</si>
  <si>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</si>
  <si>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</si>
  <si>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</si>
  <si>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</si>
  <si>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</si>
  <si>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</si>
  <si>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</si>
  <si>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</si>
  <si>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</si>
  <si>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</si>
  <si>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</si>
  <si>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</si>
  <si>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</si>
  <si>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</si>
  <si>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</si>
  <si>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</si>
  <si>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</si>
  <si>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</si>
  <si>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</si>
  <si>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</si>
  <si>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</si>
  <si>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</si>
  <si>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</si>
  <si>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</si>
  <si>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</si>
  <si>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</si>
  <si>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</si>
  <si>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</si>
  <si>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</si>
  <si>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</si>
  <si>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</si>
  <si>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</si>
  <si>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</si>
  <si>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</si>
  <si>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</si>
  <si>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</si>
  <si>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</si>
  <si>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</si>
  <si>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</si>
  <si>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</si>
  <si>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</si>
  <si>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</si>
  <si>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</si>
  <si>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</si>
  <si>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</si>
  <si>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</si>
  <si>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</si>
  <si>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</si>
  <si>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</si>
  <si>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</si>
  <si>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</si>
  <si>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</si>
  <si>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</si>
  <si>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</si>
  <si>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</si>
  <si>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</si>
  <si>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</si>
  <si>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</si>
  <si>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</si>
  <si>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</si>
  <si>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</si>
  <si>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</si>
  <si>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</si>
  <si>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</si>
  <si>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</si>
  <si>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</si>
  <si>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</si>
  <si>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</si>
  <si>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</si>
  <si>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</si>
  <si>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</si>
  <si>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</si>
  <si>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</si>
  <si>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</si>
  <si>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</si>
  <si>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</si>
  <si>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</si>
  <si>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</si>
  <si>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</si>
  <si>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</si>
  <si>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</si>
  <si>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</si>
  <si>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</si>
  <si>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</si>
  <si>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</si>
  <si>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</si>
  <si>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</si>
  <si>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</si>
  <si>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</si>
  <si>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</si>
  <si>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</si>
  <si>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</si>
  <si>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</si>
  <si>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</si>
  <si>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</si>
  <si>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</si>
  <si>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</si>
  <si>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</si>
  <si>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</si>
  <si>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</si>
  <si>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</si>
  <si>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</si>
  <si>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</si>
  <si>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</si>
  <si>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</si>
  <si>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</si>
  <si>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</si>
  <si>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</si>
  <si>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</si>
  <si>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</si>
  <si>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</si>
  <si>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</si>
  <si>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</si>
  <si>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</si>
  <si>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</si>
  <si>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</si>
  <si>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</si>
  <si>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</si>
  <si>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</si>
  <si>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</si>
  <si>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</si>
  <si>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</si>
  <si>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</si>
  <si>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</si>
  <si>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</si>
  <si>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</si>
  <si>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</si>
  <si>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</si>
  <si>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</si>
  <si>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</si>
  <si>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</si>
  <si>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</si>
  <si>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</si>
  <si>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</si>
  <si>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</si>
  <si>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</si>
  <si>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</si>
  <si>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</si>
  <si>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</si>
  <si>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</si>
  <si>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</si>
  <si>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</si>
  <si>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</si>
  <si>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</si>
  <si>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</si>
  <si>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</si>
  <si>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</si>
  <si>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</si>
  <si>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</si>
  <si>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</si>
  <si>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</si>
  <si>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</si>
  <si>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</si>
  <si>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</si>
  <si>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</si>
  <si>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</si>
  <si>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</si>
  <si>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</si>
  <si>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</si>
  <si>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</si>
  <si>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</si>
  <si>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</si>
  <si>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</si>
  <si>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</si>
  <si>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</si>
  <si>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</si>
  <si>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</si>
  <si>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</si>
  <si>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</si>
  <si>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</si>
  <si>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</si>
  <si>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</si>
  <si>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</si>
  <si>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</si>
  <si>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</si>
  <si>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</si>
  <si>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</si>
  <si>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</si>
  <si>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</si>
  <si>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</si>
  <si>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</si>
  <si>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</si>
  <si>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</si>
  <si>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</si>
  <si>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</si>
  <si>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</si>
  <si>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</si>
  <si>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</si>
  <si>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</si>
  <si>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</si>
  <si>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</si>
  <si>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</si>
  <si>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</si>
  <si>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</si>
  <si>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</si>
  <si>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</si>
  <si>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</si>
  <si>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</si>
  <si>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</si>
  <si>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</si>
  <si>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</si>
  <si>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</si>
  <si>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</si>
  <si>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</si>
  <si>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</si>
  <si>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</si>
  <si>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</si>
  <si>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</si>
  <si>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</si>
  <si>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</si>
  <si>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</si>
  <si>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</si>
  <si>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</si>
  <si>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</si>
  <si>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</si>
  <si>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</si>
  <si>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</si>
  <si>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</si>
  <si>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</si>
  <si>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</si>
  <si>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</si>
  <si>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</si>
  <si>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</si>
  <si>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</si>
  <si>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</si>
  <si>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</si>
  <si>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</si>
  <si>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</si>
  <si>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</si>
  <si>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</si>
  <si>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</si>
  <si>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</si>
  <si>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</si>
  <si>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</si>
  <si>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</si>
  <si>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</si>
  <si>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</si>
  <si>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</si>
  <si>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</si>
  <si>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</si>
  <si>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</si>
  <si>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</si>
  <si>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</si>
  <si>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</si>
  <si>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</si>
  <si>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</si>
  <si>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</si>
  <si>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</si>
  <si>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</si>
  <si>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</si>
  <si>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</si>
  <si>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</si>
  <si>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</si>
  <si>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</si>
  <si>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</si>
  <si>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</si>
  <si>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</si>
  <si>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</si>
  <si>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</si>
  <si>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</si>
  <si>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</si>
  <si>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</si>
  <si>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</si>
  <si>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</si>
  <si>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</si>
  <si>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</si>
  <si>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</si>
  <si>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</si>
  <si>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</si>
  <si>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</si>
  <si>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</si>
  <si>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</si>
  <si>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</si>
  <si>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</si>
  <si>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</si>
  <si>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</si>
  <si>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</si>
  <si>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</si>
  <si>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</si>
  <si>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</si>
  <si>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</si>
  <si>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</si>
  <si>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</si>
  <si>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</si>
  <si>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</si>
  <si>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</si>
  <si>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</si>
  <si>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</si>
  <si>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</si>
  <si>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</si>
  <si>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</si>
  <si>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</si>
  <si>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</si>
  <si>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</si>
  <si>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</si>
  <si>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</si>
  <si>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</si>
  <si>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</si>
  <si>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</si>
  <si>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</si>
  <si>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</si>
  <si>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</si>
  <si>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</si>
  <si>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</si>
  <si>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</si>
  <si>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</si>
  <si>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</si>
  <si>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</si>
  <si>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</si>
  <si>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</si>
  <si>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</si>
  <si>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</si>
  <si>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</si>
  <si>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</si>
  <si>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</si>
  <si>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</si>
  <si>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</si>
  <si>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</si>
  <si>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</si>
  <si>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</si>
  <si>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</si>
  <si>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</si>
  <si>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</si>
  <si>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</si>
  <si>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</si>
  <si>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</si>
  <si>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</si>
  <si>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</si>
  <si>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</si>
  <si>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</si>
  <si>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</si>
  <si>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</si>
  <si>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</si>
  <si>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</si>
  <si>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</si>
  <si>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</si>
  <si>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</si>
  <si>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</si>
  <si>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</si>
  <si>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</si>
  <si>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</si>
  <si>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</si>
  <si>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</si>
  <si>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</si>
  <si>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</si>
  <si>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</si>
  <si>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</si>
  <si>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</si>
  <si>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</si>
  <si>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</si>
  <si>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</si>
  <si>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</si>
  <si>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</si>
  <si>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</si>
  <si>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</si>
  <si>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</si>
  <si>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</si>
  <si>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</si>
  <si>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</si>
  <si>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</si>
  <si>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</si>
  <si>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</si>
  <si>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</si>
  <si>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</si>
  <si>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</si>
  <si>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</si>
  <si>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</si>
  <si>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</si>
  <si>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</si>
  <si>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</si>
  <si>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</si>
  <si>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</si>
  <si>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</si>
  <si>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</si>
  <si>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</si>
  <si>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</si>
  <si>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</si>
  <si>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</si>
  <si>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</si>
  <si>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</si>
  <si>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</si>
  <si>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</si>
  <si>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</si>
  <si>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</si>
  <si>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</si>
  <si>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</si>
  <si>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</si>
  <si>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</si>
  <si>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</si>
  <si>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</si>
  <si>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</si>
  <si>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</si>
  <si>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</si>
  <si>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</si>
  <si>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</si>
  <si>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</si>
  <si>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</si>
  <si>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</si>
  <si>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</si>
  <si>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</si>
  <si>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</si>
  <si>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</si>
  <si>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</si>
  <si>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</si>
  <si>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</si>
  <si>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</si>
  <si>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</si>
  <si>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</si>
  <si>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</si>
  <si>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</si>
  <si>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</si>
  <si>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</si>
  <si>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</si>
  <si>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</si>
  <si>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</si>
  <si>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</si>
  <si>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</si>
  <si>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</si>
  <si>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</si>
  <si>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</si>
  <si>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</si>
  <si>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</si>
  <si>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</si>
  <si>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</si>
  <si>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</si>
  <si>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</si>
  <si>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</si>
  <si>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</si>
  <si>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</si>
  <si>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</si>
  <si>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</si>
  <si>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</si>
  <si>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</si>
  <si>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</si>
  <si>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</si>
  <si>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</si>
  <si>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</si>
  <si>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</si>
  <si>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</si>
  <si>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</si>
  <si>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</si>
  <si>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</si>
  <si>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</si>
  <si>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</si>
  <si>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</si>
  <si>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</si>
  <si>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</si>
  <si>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</si>
  <si>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</si>
  <si>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</si>
  <si>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</si>
  <si>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</si>
  <si>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</si>
  <si>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</si>
  <si>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</si>
  <si>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</si>
  <si>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</si>
  <si>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</si>
  <si>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</si>
  <si>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</si>
  <si>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</si>
  <si>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</si>
  <si>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</si>
  <si>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</si>
  <si>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</si>
  <si>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</si>
  <si>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</si>
  <si>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</si>
  <si>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</si>
  <si>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</si>
  <si>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</si>
  <si>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</si>
  <si>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</si>
  <si>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</si>
  <si>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</si>
  <si>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</si>
  <si>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</si>
  <si>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</si>
  <si>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</si>
  <si>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</si>
  <si>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</si>
  <si>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</si>
  <si>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</si>
  <si>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</si>
  <si>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</si>
  <si>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</si>
  <si>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</si>
  <si>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</si>
  <si>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</si>
  <si>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</si>
  <si>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</si>
  <si>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</si>
  <si>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</si>
  <si>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</si>
  <si>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</si>
  <si>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</si>
  <si>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</si>
  <si>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</si>
  <si>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</si>
  <si>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</si>
  <si>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</si>
  <si>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</si>
  <si>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</si>
  <si>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</si>
  <si>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</si>
  <si>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</si>
  <si>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</si>
  <si>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</si>
  <si>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</si>
  <si>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</si>
  <si>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</si>
  <si>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</si>
  <si>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</si>
  <si>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</si>
  <si>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</si>
  <si>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</si>
  <si>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</si>
  <si>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</si>
  <si>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</si>
  <si>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</si>
  <si>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</si>
  <si>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</si>
  <si>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</si>
  <si>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</si>
  <si>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</si>
  <si>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</si>
  <si>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</si>
  <si>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</si>
  <si>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</si>
  <si>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</si>
  <si>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</si>
  <si>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</si>
  <si>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</si>
  <si>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</si>
  <si>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</si>
  <si>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</si>
  <si>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</si>
  <si>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</si>
  <si>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</si>
  <si>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</si>
  <si>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</si>
  <si>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</si>
  <si>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</si>
  <si>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</si>
  <si>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</si>
  <si>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</si>
  <si>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</si>
  <si>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</si>
  <si>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</si>
  <si>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</si>
  <si>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</si>
  <si>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</si>
  <si>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</si>
  <si>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</si>
  <si>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</si>
  <si>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</si>
  <si>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</si>
  <si>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</si>
  <si>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</si>
  <si>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</si>
  <si>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</si>
  <si>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</si>
  <si>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</si>
  <si>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</si>
  <si>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</si>
  <si>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</si>
  <si>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</si>
  <si>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</si>
  <si>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</si>
  <si>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</si>
  <si>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</si>
  <si>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</si>
  <si>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</si>
  <si>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</si>
  <si>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</si>
  <si>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</si>
  <si>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</si>
  <si>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</si>
  <si>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</si>
  <si>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</si>
  <si>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</si>
  <si>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</si>
  <si>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</si>
  <si>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</si>
  <si>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</si>
  <si>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</si>
  <si>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</si>
  <si>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</si>
  <si>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</si>
  <si>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</si>
  <si>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</si>
  <si>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</si>
  <si>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</si>
  <si>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</si>
  <si>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</si>
  <si>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</si>
  <si>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</si>
  <si>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</si>
  <si>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</si>
  <si>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</si>
  <si>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</si>
  <si>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</si>
  <si>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</si>
  <si>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</si>
  <si>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</si>
  <si>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</si>
  <si>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</si>
  <si>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</si>
  <si>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</si>
  <si>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</si>
  <si>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</si>
  <si>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</si>
  <si>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</si>
  <si>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</si>
  <si>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</si>
  <si>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</si>
  <si>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</si>
  <si>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</si>
  <si>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</si>
  <si>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</si>
  <si>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</si>
  <si>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</si>
  <si>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</si>
  <si>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</si>
  <si>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</si>
  <si>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</si>
  <si>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</si>
  <si>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</si>
  <si>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</si>
  <si>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</si>
  <si>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</si>
  <si>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</si>
  <si>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</si>
  <si>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</si>
  <si>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</si>
  <si>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</si>
  <si>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</si>
  <si>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</si>
  <si>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</si>
  <si>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</si>
  <si>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</si>
  <si>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</si>
  <si>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</si>
  <si>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</si>
  <si>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</si>
  <si>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</si>
  <si>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</si>
  <si>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</si>
  <si>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</si>
  <si>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</si>
  <si>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</si>
  <si>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</si>
  <si>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</si>
  <si>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</si>
  <si>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</si>
  <si>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</si>
  <si>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</si>
  <si>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</si>
  <si>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</si>
  <si>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</si>
  <si>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</si>
  <si>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</si>
  <si>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</si>
  <si>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</si>
  <si>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</si>
  <si>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</si>
  <si>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</si>
  <si>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</si>
  <si>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</si>
  <si>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</si>
  <si>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</si>
  <si>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</si>
  <si>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</si>
  <si>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</si>
  <si>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</si>
  <si>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</si>
  <si>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</si>
  <si>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</si>
  <si>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</si>
  <si>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</si>
  <si>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</si>
  <si>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</si>
  <si>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</si>
  <si>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</si>
  <si>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</si>
  <si>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</si>
  <si>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</si>
  <si>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</si>
  <si>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</si>
  <si>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</si>
  <si>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</si>
  <si>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</si>
  <si>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</si>
  <si>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</si>
  <si>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</si>
  <si>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</si>
  <si>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</si>
  <si>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</si>
  <si>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</si>
  <si>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</si>
  <si>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</si>
  <si>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</si>
  <si>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</si>
  <si>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</si>
  <si>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</si>
  <si>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</si>
  <si>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</si>
  <si>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</si>
  <si>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</si>
  <si>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</si>
  <si>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</si>
  <si>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</si>
  <si>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</si>
  <si>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</si>
  <si>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</si>
  <si>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</si>
  <si>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</si>
  <si>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</si>
  <si>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</si>
  <si>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</si>
  <si>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</si>
  <si>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</si>
  <si>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</si>
  <si>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</si>
  <si>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</si>
  <si>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</si>
  <si>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</si>
  <si>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</si>
  <si>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</si>
  <si>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</si>
  <si>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</si>
  <si>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</si>
  <si>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</si>
  <si>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</si>
  <si>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</si>
  <si>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</si>
  <si>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Többéves kihatással járó döntésekből származó kötzelezettségek célok szerinti, évenkénti bontásban</t>
  </si>
  <si>
    <t>2. tájékoztató tábla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</si>
  <si>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</si>
  <si>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</si>
  <si>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</si>
  <si>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</si>
  <si>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</si>
  <si>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</si>
  <si>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</si>
  <si>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</si>
  <si>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</si>
  <si>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</si>
  <si>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</si>
  <si>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</si>
  <si>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</si>
  <si>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</si>
  <si>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</si>
  <si>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</si>
  <si>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</si>
  <si>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</si>
  <si>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</si>
  <si>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</si>
  <si>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</si>
  <si>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</si>
  <si>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</si>
  <si>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</si>
  <si>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</si>
  <si>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</si>
  <si>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</si>
  <si>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</si>
  <si>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</si>
  <si>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</si>
  <si>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</si>
  <si>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</si>
  <si>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</si>
  <si>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</si>
  <si>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</si>
  <si>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</si>
  <si>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</si>
  <si>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</si>
  <si>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</si>
  <si>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</si>
  <si>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</si>
  <si>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</si>
  <si>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</si>
  <si>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</si>
  <si>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</si>
  <si>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</si>
  <si>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</si>
  <si>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</si>
  <si>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</si>
  <si>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</si>
  <si>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</si>
  <si>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</si>
  <si>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</si>
  <si>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</si>
  <si>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</si>
  <si>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</si>
  <si>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</si>
  <si>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</si>
  <si>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</si>
  <si>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</si>
  <si>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</si>
  <si>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</si>
  <si>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</si>
  <si>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</si>
  <si>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</si>
  <si>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</si>
  <si>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</si>
  <si>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</si>
  <si>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</si>
  <si>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</si>
  <si>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</si>
  <si>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</si>
  <si>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</si>
  <si>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</si>
  <si>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</si>
  <si>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</si>
  <si>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</si>
  <si>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</si>
  <si>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</si>
  <si>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</si>
  <si>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</si>
  <si>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</si>
  <si>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</si>
  <si>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</si>
  <si>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Telekadó</t>
  </si>
  <si>
    <t>Kommunális adó</t>
  </si>
  <si>
    <t>Mellékletben külön?</t>
  </si>
  <si>
    <t>.</t>
  </si>
  <si>
    <r>
      <t>2018. évi L.
törvény 2.  melléklete száma</t>
    </r>
    <r>
      <rPr>
        <b/>
        <sz val="10"/>
        <rFont val="Symbol"/>
        <family val="1"/>
      </rPr>
      <t>*</t>
    </r>
  </si>
  <si>
    <t>* Magyarország 2019. évi központi költségvetéséról szóló törvény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</si>
  <si>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</si>
  <si>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</si>
  <si>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</si>
  <si>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</si>
  <si>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</si>
  <si>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Igen</t>
  </si>
  <si>
    <t>I=C+F</t>
  </si>
  <si>
    <t>B=C+E+H</t>
  </si>
  <si>
    <t>Módosítás utáni összes forrás, kiadás</t>
  </si>
  <si>
    <t>Összes
 tartozás</t>
  </si>
  <si>
    <t xml:space="preserve">Idegenforgalmi adó </t>
  </si>
  <si>
    <t>Idegenforgalmi adó</t>
  </si>
  <si>
    <t xml:space="preserve">Talajterhelési díj 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</si>
  <si>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</si>
  <si>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</si>
  <si>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</si>
  <si>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</si>
  <si>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</si>
  <si>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t>BEKECS KÖZSÉG Önkormányzata</t>
  </si>
  <si>
    <t>BEKECSI Közös Önkormányzati Hivatal</t>
  </si>
  <si>
    <t>BEKECSI ÁMK</t>
  </si>
  <si>
    <t>Bölcsöde pályázat</t>
  </si>
  <si>
    <t xml:space="preserve">Bölcsöde riasztó kiépítése </t>
  </si>
  <si>
    <t xml:space="preserve">Bölcsöde saját forrás </t>
  </si>
  <si>
    <t>2020</t>
  </si>
  <si>
    <t xml:space="preserve">Bölcsöde áramfejlesztés </t>
  </si>
  <si>
    <t>Óvodafejlesztés</t>
  </si>
  <si>
    <t>Óvodaudvar fejlesztés</t>
  </si>
  <si>
    <t>2019</t>
  </si>
  <si>
    <t>Helyi identitás pályázat</t>
  </si>
  <si>
    <t>Önkormányzati utak felújítás Magyar Falu program</t>
  </si>
  <si>
    <t>Ingatlan vásárlás Bölcsöde telekre</t>
  </si>
  <si>
    <t>Épületenergetikai pályázat</t>
  </si>
  <si>
    <t xml:space="preserve">Borsodvíz </t>
  </si>
  <si>
    <t>védőnő eszköz vásárlás</t>
  </si>
  <si>
    <t>KC támogatás keretében tárgyi eszköz vásárlás</t>
  </si>
  <si>
    <t>KC támogatás keretében térkőgyártás</t>
  </si>
  <si>
    <t>Viridis</t>
  </si>
  <si>
    <t>Bölcsöde és Óvoda között kerítés építés</t>
  </si>
  <si>
    <t>Ővoda konyha eszköz beszerzés</t>
  </si>
  <si>
    <t>napközi konyha eszköz beszerzés</t>
  </si>
  <si>
    <t>Óvoda eszköz beszerzés bútor, eszköznorma, játék</t>
  </si>
  <si>
    <t>Létra monitor  művelődésház</t>
  </si>
  <si>
    <t>Sportcsarnok tetőszerkezet</t>
  </si>
  <si>
    <t>Falumúzeum felújítása</t>
  </si>
  <si>
    <t>Igazság utca felújítása</t>
  </si>
  <si>
    <t>Külterületi utak felújítása</t>
  </si>
  <si>
    <t>2018</t>
  </si>
  <si>
    <t>Egyéb közhatalmi bevétel</t>
  </si>
  <si>
    <t>egyéb közhatalmi bevétel</t>
  </si>
  <si>
    <t>9.4.</t>
  </si>
  <si>
    <t>Egyéb belső finanszirozási kiadáok</t>
  </si>
  <si>
    <t>Ipari Park pályázat</t>
  </si>
  <si>
    <t>Elhagyott ingatlanok beszerzése pályázat</t>
  </si>
  <si>
    <t>Orvosi eszköz beszerzés pályázat</t>
  </si>
  <si>
    <t>Magyar Falu Traktor pályázat</t>
  </si>
  <si>
    <t>Videó állvány</t>
  </si>
  <si>
    <t>Bekecsi Közös Hivatal eszköz beszerzés (telefon és informatikai eszköz szerverhez)</t>
  </si>
  <si>
    <t>Karácsonyi díszvilágítás (rénszarvas)</t>
  </si>
  <si>
    <t>Bölcsőde saját forrás</t>
  </si>
  <si>
    <t>Bekecs Község Önkormányzata</t>
  </si>
  <si>
    <t>Bekecsi Közös Önkormányzati Hivatal</t>
  </si>
  <si>
    <t>Bekecsi ÁMK</t>
  </si>
  <si>
    <t>I.1.c</t>
  </si>
  <si>
    <t>1.1 a a-f</t>
  </si>
  <si>
    <t>Önkormányzati hivatal működésének támogatása</t>
  </si>
  <si>
    <t>I.1.b.-I.1f.</t>
  </si>
  <si>
    <t>Települési önkormányzatok működési támogatása</t>
  </si>
  <si>
    <t>egyéb önkormányzati támogatás</t>
  </si>
  <si>
    <t>I.1. d</t>
  </si>
  <si>
    <t>lakott külterülettel kapcsolatos támogatás</t>
  </si>
  <si>
    <t>I.1.f.</t>
  </si>
  <si>
    <t>beszámítás</t>
  </si>
  <si>
    <t>I.5</t>
  </si>
  <si>
    <t>polgáremster illetménye</t>
  </si>
  <si>
    <t>II.</t>
  </si>
  <si>
    <t>Települési önkormányzatok köznevelési feladatainak támogatása</t>
  </si>
  <si>
    <t>III.1</t>
  </si>
  <si>
    <t>települési önkormányzatok szociális feladatainak egyéb támogatása</t>
  </si>
  <si>
    <t>III.2.</t>
  </si>
  <si>
    <t>szociális étkezők támogatása</t>
  </si>
  <si>
    <t>III.5</t>
  </si>
  <si>
    <t>gyermekétkeztetés támogatása</t>
  </si>
  <si>
    <t>IV. b</t>
  </si>
  <si>
    <t>nyilvános könyvtári és közművelődési támogatás</t>
  </si>
  <si>
    <t>kulturális pótlék</t>
  </si>
  <si>
    <t>Szociális pótlék</t>
  </si>
  <si>
    <t>működési célú kiegészítő támogatások</t>
  </si>
  <si>
    <t>Bölcsőde</t>
  </si>
  <si>
    <t>Ipari Park kialakítása pályázat</t>
  </si>
  <si>
    <t>Xeros Kft fénymásoló bérleti díja KH</t>
  </si>
  <si>
    <t>Xeros Kft fénymásoló bérleti díja ÁMK</t>
  </si>
  <si>
    <t>Sunpix  fénymásoló bérleti díja KH Legyesbénye</t>
  </si>
  <si>
    <t>Bursa támogatás</t>
  </si>
  <si>
    <t>működés</t>
  </si>
  <si>
    <t>Zempléni Hulladék</t>
  </si>
  <si>
    <t>Borsodvíz Zrt</t>
  </si>
  <si>
    <t>fejlesztés</t>
  </si>
  <si>
    <t>Szerencsi Többcélú Társulás</t>
  </si>
  <si>
    <t>Prügy Község Önkormányzata családsegítő szolgálta</t>
  </si>
  <si>
    <t>Medicopter Alapítvány</t>
  </si>
  <si>
    <t>Bekecsi Birkózó Club</t>
  </si>
  <si>
    <t>Bekecsi Folt Varázs Kör</t>
  </si>
  <si>
    <t>Tóth Gyula</t>
  </si>
  <si>
    <t>Bekecsi Gyermekekért Alapítvány</t>
  </si>
  <si>
    <t>csontvelő Transzplantáció Alapítvány</t>
  </si>
  <si>
    <t>benyújtott kérelmeknek keret összeg</t>
  </si>
  <si>
    <t>Bekecsi Közös Hivatal</t>
  </si>
  <si>
    <t>Zemplén Zhk Hulladékkezelési Közszolgáltató Kft</t>
  </si>
  <si>
    <t>Közvilágítási részvény</t>
  </si>
  <si>
    <t>Borsodvíz részvény</t>
  </si>
  <si>
    <t>Taktaköz Hernádvölgy Fejlesztésért Nonprofit kft</t>
  </si>
  <si>
    <t>Bekecs ÁMK</t>
  </si>
  <si>
    <t>Humán Kapacitás fejlesztése térségi szemléletben EFOP-3.9.2-16-2017-00051</t>
  </si>
  <si>
    <t>Bekecsi Önkormányzati épületegyüttes energetikai korszerűsítése TOP.3.2.1-16BO1-2019-00096</t>
  </si>
  <si>
    <t>Helyi Identitás és Kohézió TOP-5.3.1-16-B01-2017-00023</t>
  </si>
  <si>
    <t>Bölcsőde építése Bekecs Községben TOP-1.4.1-16.B01-2017-0012</t>
  </si>
  <si>
    <t>FAD</t>
  </si>
  <si>
    <t>Bekecsi ÁMK a köznevelés eredményességéért EFOP-3.3.2.16-2016-00045</t>
  </si>
  <si>
    <t>EMVA VP-7.2.1.2-16-1913438 külterületi utak felújítása</t>
  </si>
  <si>
    <t xml:space="preserve">1. melléklet </t>
  </si>
  <si>
    <t>2. melléklet</t>
  </si>
  <si>
    <t>V.25</t>
  </si>
  <si>
    <t>5. számú melléklet a 8/2021 (V.25) önkormányzati rendelethez</t>
  </si>
  <si>
    <t>6. számú melléklet a  8/2021 (V.25) önkormányzati rendelethez</t>
  </si>
  <si>
    <t>25. számú melléklet 8/2021 (V.25) önkormányzati rendelethez</t>
  </si>
  <si>
    <t>29.  melléklet  a 8/2021 (V.25) önkormányzati rendelethez</t>
  </si>
  <si>
    <t>33. melléklet a 8/2021 (V.25) önkormányzati rendelethez</t>
  </si>
  <si>
    <t>26. melléklet 8/2021 (V.25) önkormányzati rendelethez</t>
  </si>
  <si>
    <t>27.  melléklet 8/2021 (V.25)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</si>
</sst>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</numFmts>
  <fonts count="11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i/>
      <sz val="12"/>
      <name val="Times New Roman CE"/>
      <family val="0"/>
    </font>
    <font>
      <sz val="11"/>
      <name val="Times New Roman"/>
      <family val="1"/>
    </font>
    <font>
      <b/>
      <sz val="5"/>
      <name val="Times New Roman CE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sz val="10"/>
      <color indexed="9"/>
      <name val="Times New Roman CE"/>
      <family val="0"/>
    </font>
    <font>
      <sz val="8"/>
      <color indexed="10"/>
      <name val="Times New Roman CE"/>
      <family val="1"/>
    </font>
    <font>
      <sz val="9"/>
      <color indexed="10"/>
      <name val="Times New Roman CE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sz val="10"/>
      <color theme="0"/>
      <name val="Times New Roman CE"/>
      <family val="0"/>
    </font>
    <font>
      <sz val="8"/>
      <color rgb="FFFF0000"/>
      <name val="Times New Roman CE"/>
      <family val="1"/>
    </font>
    <font>
      <sz val="9"/>
      <color rgb="FFFF0000"/>
      <name val="Times New Roman CE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0" fillId="22" borderId="7" applyNumberFormat="0" applyFont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96" fillId="29" borderId="0" applyNumberFormat="0" applyBorder="0" applyAlignment="0" applyProtection="0"/>
    <xf numFmtId="0" fontId="97" fillId="30" borderId="8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0" fontId="10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6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49" fontId="13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1" applyFont="1" applyFill="1" applyBorder="1" applyAlignment="1" applyProtection="1">
      <alignment vertical="center" wrapText="1"/>
      <protection/>
    </xf>
    <xf numFmtId="0" fontId="12" fillId="0" borderId="25" xfId="61" applyFont="1" applyFill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6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8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6" xfId="0" applyNumberFormat="1" applyFont="1" applyFill="1" applyBorder="1" applyAlignment="1" applyProtection="1">
      <alignment vertical="center" wrapText="1"/>
      <protection/>
    </xf>
    <xf numFmtId="166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5" xfId="61" applyFont="1" applyFill="1" applyBorder="1" applyAlignment="1" applyProtection="1">
      <alignment horizontal="left" vertical="center" wrapText="1" indent="6"/>
      <protection/>
    </xf>
    <xf numFmtId="0" fontId="13" fillId="0" borderId="29" xfId="61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6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2" fillId="0" borderId="28" xfId="0" applyNumberFormat="1" applyFont="1" applyFill="1" applyBorder="1" applyAlignment="1" applyProtection="1">
      <alignment vertical="center"/>
      <protection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6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4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1" applyFont="1" applyFill="1" applyBorder="1" applyAlignment="1" applyProtection="1">
      <alignment horizontal="center" vertical="center" wrapText="1"/>
      <protection/>
    </xf>
    <xf numFmtId="0" fontId="12" fillId="0" borderId="25" xfId="6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3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0" fontId="14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1" applyNumberFormat="1" applyFont="1" applyFill="1" applyBorder="1" applyAlignment="1" applyProtection="1">
      <alignment horizontal="center" vertical="center" wrapText="1"/>
      <protection/>
    </xf>
    <xf numFmtId="49" fontId="13" fillId="0" borderId="17" xfId="61" applyNumberFormat="1" applyFont="1" applyFill="1" applyBorder="1" applyAlignment="1" applyProtection="1">
      <alignment horizontal="center" vertical="center" wrapText="1"/>
      <protection/>
    </xf>
    <xf numFmtId="49" fontId="13" fillId="0" borderId="19" xfId="61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1" applyNumberFormat="1" applyFont="1" applyFill="1" applyBorder="1" applyAlignment="1" applyProtection="1">
      <alignment horizontal="center" vertical="center" wrapText="1"/>
      <protection/>
    </xf>
    <xf numFmtId="49" fontId="13" fillId="0" borderId="16" xfId="61" applyNumberFormat="1" applyFont="1" applyFill="1" applyBorder="1" applyAlignment="1" applyProtection="1">
      <alignment horizontal="center" vertical="center" wrapText="1"/>
      <protection/>
    </xf>
    <xf numFmtId="49" fontId="13" fillId="0" borderId="21" xfId="61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1" applyFont="1" applyFill="1" applyBorder="1" applyAlignment="1" applyProtection="1">
      <alignment horizontal="left" vertical="center" wrapText="1" indent="1"/>
      <protection/>
    </xf>
    <xf numFmtId="0" fontId="12" fillId="0" borderId="32" xfId="61" applyFont="1" applyFill="1" applyBorder="1" applyAlignment="1" applyProtection="1">
      <alignment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 indent="7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1" applyNumberFormat="1" applyFont="1" applyFill="1" applyBorder="1" applyAlignment="1" applyProtection="1">
      <alignment horizontal="center" vertical="center" wrapText="1"/>
      <protection/>
    </xf>
    <xf numFmtId="166" fontId="12" fillId="0" borderId="47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0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51" xfId="61" applyFont="1" applyFill="1" applyBorder="1" applyAlignment="1" applyProtection="1">
      <alignment horizontal="center" vertical="center" wrapText="1"/>
      <protection/>
    </xf>
    <xf numFmtId="0" fontId="12" fillId="0" borderId="52" xfId="61" applyFont="1" applyFill="1" applyBorder="1" applyAlignment="1" applyProtection="1">
      <alignment horizontal="center" vertical="center" wrapText="1"/>
      <protection/>
    </xf>
    <xf numFmtId="166" fontId="12" fillId="0" borderId="53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1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57" xfId="0" applyFont="1" applyBorder="1" applyAlignment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58" xfId="61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13" fillId="0" borderId="29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 locked="0"/>
    </xf>
    <xf numFmtId="0" fontId="2" fillId="0" borderId="0" xfId="61" applyFont="1" applyFill="1" applyAlignment="1" applyProtection="1">
      <alignment horizontal="right" vertical="center" indent="1"/>
      <protection locked="0"/>
    </xf>
    <xf numFmtId="0" fontId="2" fillId="0" borderId="0" xfId="61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8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166" fontId="13" fillId="33" borderId="11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6" fontId="13" fillId="33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6" fontId="20" fillId="0" borderId="31" xfId="61" applyNumberFormat="1" applyFont="1" applyFill="1" applyBorder="1" applyAlignment="1" applyProtection="1">
      <alignment/>
      <protection/>
    </xf>
    <xf numFmtId="0" fontId="12" fillId="0" borderId="34" xfId="61" applyFont="1" applyFill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 wrapText="1"/>
      <protection/>
    </xf>
    <xf numFmtId="0" fontId="13" fillId="0" borderId="14" xfId="61" applyFont="1" applyFill="1" applyBorder="1" applyAlignment="1" applyProtection="1">
      <alignment horizontal="left" vertical="center" wrapText="1"/>
      <protection/>
    </xf>
    <xf numFmtId="0" fontId="13" fillId="0" borderId="0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/>
      <protection/>
    </xf>
    <xf numFmtId="0" fontId="13" fillId="0" borderId="15" xfId="61" applyFont="1" applyFill="1" applyBorder="1" applyAlignment="1" applyProtection="1">
      <alignment horizontal="left"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/>
      <protection/>
    </xf>
    <xf numFmtId="0" fontId="2" fillId="0" borderId="0" xfId="61" applyFill="1" applyAlignment="1" applyProtection="1">
      <alignment horizontal="left" vertical="center" inden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6" fontId="6" fillId="0" borderId="62" xfId="0" applyNumberFormat="1" applyFont="1" applyFill="1" applyBorder="1" applyAlignment="1" applyProtection="1">
      <alignment horizontal="centerContinuous" vertical="center"/>
      <protection/>
    </xf>
    <xf numFmtId="166" fontId="6" fillId="0" borderId="63" xfId="0" applyNumberFormat="1" applyFont="1" applyFill="1" applyBorder="1" applyAlignment="1" applyProtection="1">
      <alignment horizontal="centerContinuous" vertical="center"/>
      <protection/>
    </xf>
    <xf numFmtId="166" fontId="6" fillId="0" borderId="48" xfId="0" applyNumberFormat="1" applyFont="1" applyFill="1" applyBorder="1" applyAlignment="1" applyProtection="1">
      <alignment horizontal="centerContinuous" vertical="center"/>
      <protection/>
    </xf>
    <xf numFmtId="166" fontId="19" fillId="0" borderId="0" xfId="0" applyNumberFormat="1" applyFont="1" applyFill="1" applyAlignment="1">
      <alignment vertical="center"/>
    </xf>
    <xf numFmtId="166" fontId="6" fillId="0" borderId="64" xfId="0" applyNumberFormat="1" applyFont="1" applyFill="1" applyBorder="1" applyAlignment="1" applyProtection="1">
      <alignment horizontal="center" vertical="center"/>
      <protection/>
    </xf>
    <xf numFmtId="166" fontId="6" fillId="0" borderId="65" xfId="0" applyNumberFormat="1" applyFont="1" applyFill="1" applyBorder="1" applyAlignment="1" applyProtection="1">
      <alignment horizontal="center" vertical="center"/>
      <protection/>
    </xf>
    <xf numFmtId="166" fontId="6" fillId="0" borderId="58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Fill="1" applyAlignment="1">
      <alignment horizontal="center" vertical="center"/>
    </xf>
    <xf numFmtId="166" fontId="12" fillId="0" borderId="59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53" xfId="0" applyNumberFormat="1" applyFont="1" applyFill="1" applyBorder="1" applyAlignment="1" applyProtection="1">
      <alignment horizontal="center" vertical="center" wrapText="1"/>
      <protection/>
    </xf>
    <xf numFmtId="166" fontId="12" fillId="0" borderId="44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center" vertical="center" wrapText="1"/>
    </xf>
    <xf numFmtId="166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4" borderId="13" xfId="0" applyNumberFormat="1" applyFont="1" applyFill="1" applyBorder="1" applyAlignment="1" applyProtection="1">
      <alignment horizontal="center" vertical="center" wrapText="1"/>
      <protection/>
    </xf>
    <xf numFmtId="166" fontId="12" fillId="0" borderId="13" xfId="0" applyNumberFormat="1" applyFont="1" applyFill="1" applyBorder="1" applyAlignment="1" applyProtection="1">
      <alignment vertical="center" wrapText="1"/>
      <protection/>
    </xf>
    <xf numFmtId="166" fontId="12" fillId="0" borderId="62" xfId="0" applyNumberFormat="1" applyFont="1" applyFill="1" applyBorder="1" applyAlignment="1" applyProtection="1">
      <alignment vertical="center" wrapText="1"/>
      <protection/>
    </xf>
    <xf numFmtId="166" fontId="12" fillId="0" borderId="66" xfId="0" applyNumberFormat="1" applyFont="1" applyFill="1" applyBorder="1" applyAlignment="1" applyProtection="1">
      <alignment vertical="center" wrapText="1"/>
      <protection/>
    </xf>
    <xf numFmtId="166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9" xfId="0" applyNumberFormat="1" applyFont="1" applyFill="1" applyBorder="1" applyAlignment="1" applyProtection="1">
      <alignment vertical="center" wrapText="1"/>
      <protection locked="0"/>
    </xf>
    <xf numFmtId="166" fontId="13" fillId="0" borderId="41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vertical="center" wrapText="1"/>
      <protection/>
    </xf>
    <xf numFmtId="166" fontId="12" fillId="0" borderId="39" xfId="0" applyNumberFormat="1" applyFont="1" applyFill="1" applyBorder="1" applyAlignment="1" applyProtection="1">
      <alignment vertical="center" wrapText="1"/>
      <protection/>
    </xf>
    <xf numFmtId="166" fontId="12" fillId="0" borderId="41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4" borderId="15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46" xfId="0" applyNumberFormat="1" applyFont="1" applyFill="1" applyBorder="1" applyAlignment="1" applyProtection="1">
      <alignment vertical="center" wrapText="1"/>
      <protection locked="0"/>
    </xf>
    <xf numFmtId="166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4" borderId="53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53" xfId="0" applyNumberFormat="1" applyFont="1" applyFill="1" applyBorder="1" applyAlignment="1" applyProtection="1">
      <alignment vertical="center" wrapText="1"/>
      <protection/>
    </xf>
    <xf numFmtId="166" fontId="12" fillId="0" borderId="43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>
      <alignment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right" vertical="center" wrapText="1" indent="1"/>
    </xf>
    <xf numFmtId="166" fontId="12" fillId="0" borderId="43" xfId="0" applyNumberFormat="1" applyFont="1" applyFill="1" applyBorder="1" applyAlignment="1">
      <alignment horizontal="left" vertical="center" wrapText="1" indent="1"/>
    </xf>
    <xf numFmtId="166" fontId="0" fillId="34" borderId="43" xfId="0" applyNumberFormat="1" applyFont="1" applyFill="1" applyBorder="1" applyAlignment="1">
      <alignment horizontal="left" vertical="center" wrapText="1" indent="2"/>
    </xf>
    <xf numFmtId="166" fontId="0" fillId="34" borderId="33" xfId="0" applyNumberFormat="1" applyFont="1" applyFill="1" applyBorder="1" applyAlignment="1">
      <alignment horizontal="left" vertical="center" wrapText="1" indent="2"/>
    </xf>
    <xf numFmtId="166" fontId="12" fillId="0" borderId="22" xfId="0" applyNumberFormat="1" applyFont="1" applyFill="1" applyBorder="1" applyAlignment="1">
      <alignment vertical="center" wrapText="1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166" fontId="12" fillId="0" borderId="17" xfId="0" applyNumberFormat="1" applyFont="1" applyFill="1" applyBorder="1" applyAlignment="1">
      <alignment horizontal="right" vertical="center" wrapText="1" indent="1"/>
    </xf>
    <xf numFmtId="166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vertical="center" wrapText="1"/>
      <protection locked="0"/>
    </xf>
    <xf numFmtId="166" fontId="13" fillId="0" borderId="26" xfId="0" applyNumberFormat="1" applyFont="1" applyFill="1" applyBorder="1" applyAlignment="1" applyProtection="1">
      <alignment vertical="center" wrapText="1"/>
      <protection locked="0"/>
    </xf>
    <xf numFmtId="166" fontId="0" fillId="34" borderId="43" xfId="0" applyNumberFormat="1" applyFont="1" applyFill="1" applyBorder="1" applyAlignment="1">
      <alignment horizontal="right" vertical="center" wrapText="1" indent="2"/>
    </xf>
    <xf numFmtId="166" fontId="0" fillId="34" borderId="33" xfId="0" applyNumberFormat="1" applyFont="1" applyFill="1" applyBorder="1" applyAlignment="1">
      <alignment horizontal="right" vertical="center" wrapText="1" indent="2"/>
    </xf>
    <xf numFmtId="166" fontId="13" fillId="0" borderId="39" xfId="0" applyNumberFormat="1" applyFont="1" applyFill="1" applyBorder="1" applyAlignment="1" applyProtection="1">
      <alignment vertical="center"/>
      <protection locked="0"/>
    </xf>
    <xf numFmtId="166" fontId="12" fillId="0" borderId="39" xfId="0" applyNumberFormat="1" applyFont="1" applyFill="1" applyBorder="1" applyAlignment="1" applyProtection="1">
      <alignment vertical="center"/>
      <protection/>
    </xf>
    <xf numFmtId="166" fontId="13" fillId="0" borderId="67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6" fontId="13" fillId="0" borderId="29" xfId="0" applyNumberFormat="1" applyFont="1" applyFill="1" applyBorder="1" applyAlignment="1" applyProtection="1">
      <alignment vertical="center"/>
      <protection locked="0"/>
    </xf>
    <xf numFmtId="166" fontId="13" fillId="0" borderId="65" xfId="0" applyNumberFormat="1" applyFont="1" applyFill="1" applyBorder="1" applyAlignment="1" applyProtection="1">
      <alignment vertical="center"/>
      <protection locked="0"/>
    </xf>
    <xf numFmtId="166" fontId="12" fillId="0" borderId="53" xfId="0" applyNumberFormat="1" applyFont="1" applyFill="1" applyBorder="1" applyAlignment="1" applyProtection="1">
      <alignment vertical="center"/>
      <protection/>
    </xf>
    <xf numFmtId="166" fontId="12" fillId="0" borderId="58" xfId="0" applyNumberFormat="1" applyFont="1" applyFill="1" applyBorder="1" applyAlignment="1" applyProtection="1">
      <alignment vertical="center"/>
      <protection/>
    </xf>
    <xf numFmtId="166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right" vertical="center" indent="1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67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0" fontId="25" fillId="0" borderId="0" xfId="63" applyFill="1" applyProtection="1">
      <alignment/>
      <protection/>
    </xf>
    <xf numFmtId="0" fontId="31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0" fontId="17" fillId="0" borderId="20" xfId="63" applyFont="1" applyFill="1" applyBorder="1" applyAlignment="1" applyProtection="1">
      <alignment vertical="center" wrapText="1"/>
      <protection/>
    </xf>
    <xf numFmtId="176" fontId="13" fillId="0" borderId="13" xfId="62" applyNumberFormat="1" applyFont="1" applyFill="1" applyBorder="1" applyAlignment="1" applyProtection="1">
      <alignment horizontal="center" vertical="center"/>
      <protection/>
    </xf>
    <xf numFmtId="177" fontId="34" fillId="0" borderId="13" xfId="63" applyNumberFormat="1" applyFont="1" applyFill="1" applyBorder="1" applyAlignment="1" applyProtection="1">
      <alignment horizontal="right" vertical="center" wrapText="1"/>
      <protection locked="0"/>
    </xf>
    <xf numFmtId="177" fontId="34" fillId="0" borderId="45" xfId="6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3" applyFill="1" applyAlignment="1" applyProtection="1">
      <alignment vertical="center"/>
      <protection/>
    </xf>
    <xf numFmtId="0" fontId="17" fillId="0" borderId="17" xfId="63" applyFont="1" applyFill="1" applyBorder="1" applyAlignment="1" applyProtection="1">
      <alignment vertical="center" wrapText="1"/>
      <protection/>
    </xf>
    <xf numFmtId="176" fontId="13" fillId="0" borderId="11" xfId="62" applyNumberFormat="1" applyFont="1" applyFill="1" applyBorder="1" applyAlignment="1" applyProtection="1">
      <alignment horizontal="center" vertical="center"/>
      <protection/>
    </xf>
    <xf numFmtId="177" fontId="34" fillId="0" borderId="11" xfId="63" applyNumberFormat="1" applyFont="1" applyFill="1" applyBorder="1" applyAlignment="1" applyProtection="1">
      <alignment horizontal="right" vertical="center" wrapText="1"/>
      <protection/>
    </xf>
    <xf numFmtId="177" fontId="34" fillId="0" borderId="26" xfId="63" applyNumberFormat="1" applyFont="1" applyFill="1" applyBorder="1" applyAlignment="1" applyProtection="1">
      <alignment horizontal="right" vertical="center" wrapText="1"/>
      <protection/>
    </xf>
    <xf numFmtId="0" fontId="35" fillId="0" borderId="17" xfId="63" applyFont="1" applyFill="1" applyBorder="1" applyAlignment="1" applyProtection="1">
      <alignment horizontal="left" vertical="center" wrapText="1" indent="1"/>
      <protection/>
    </xf>
    <xf numFmtId="177" fontId="36" fillId="0" borderId="11" xfId="63" applyNumberFormat="1" applyFont="1" applyFill="1" applyBorder="1" applyAlignment="1" applyProtection="1">
      <alignment horizontal="right" vertical="center" wrapText="1"/>
      <protection locked="0"/>
    </xf>
    <xf numFmtId="177" fontId="36" fillId="0" borderId="26" xfId="63" applyNumberFormat="1" applyFont="1" applyFill="1" applyBorder="1" applyAlignment="1" applyProtection="1">
      <alignment horizontal="right" vertical="center" wrapText="1"/>
      <protection locked="0"/>
    </xf>
    <xf numFmtId="177" fontId="37" fillId="0" borderId="11" xfId="63" applyNumberFormat="1" applyFont="1" applyFill="1" applyBorder="1" applyAlignment="1" applyProtection="1">
      <alignment horizontal="right" vertical="center" wrapText="1"/>
      <protection locked="0"/>
    </xf>
    <xf numFmtId="177" fontId="37" fillId="0" borderId="26" xfId="63" applyNumberFormat="1" applyFont="1" applyFill="1" applyBorder="1" applyAlignment="1" applyProtection="1">
      <alignment horizontal="right" vertical="center" wrapText="1"/>
      <protection locked="0"/>
    </xf>
    <xf numFmtId="177" fontId="37" fillId="0" borderId="11" xfId="63" applyNumberFormat="1" applyFont="1" applyFill="1" applyBorder="1" applyAlignment="1" applyProtection="1">
      <alignment horizontal="right" vertical="center" wrapText="1"/>
      <protection/>
    </xf>
    <xf numFmtId="177" fontId="37" fillId="0" borderId="26" xfId="63" applyNumberFormat="1" applyFont="1" applyFill="1" applyBorder="1" applyAlignment="1" applyProtection="1">
      <alignment horizontal="right" vertical="center" wrapText="1"/>
      <protection/>
    </xf>
    <xf numFmtId="0" fontId="17" fillId="0" borderId="21" xfId="63" applyFont="1" applyFill="1" applyBorder="1" applyAlignment="1" applyProtection="1">
      <alignment vertical="center" wrapText="1"/>
      <protection/>
    </xf>
    <xf numFmtId="176" fontId="13" fillId="0" borderId="29" xfId="62" applyNumberFormat="1" applyFont="1" applyFill="1" applyBorder="1" applyAlignment="1" applyProtection="1">
      <alignment horizontal="center" vertical="center"/>
      <protection/>
    </xf>
    <xf numFmtId="177" fontId="34" fillId="0" borderId="29" xfId="63" applyNumberFormat="1" applyFont="1" applyFill="1" applyBorder="1" applyAlignment="1" applyProtection="1">
      <alignment horizontal="right" vertical="center" wrapText="1"/>
      <protection/>
    </xf>
    <xf numFmtId="177" fontId="34" fillId="0" borderId="58" xfId="63" applyNumberFormat="1" applyFont="1" applyFill="1" applyBorder="1" applyAlignment="1" applyProtection="1">
      <alignment horizontal="right" vertical="center" wrapText="1"/>
      <protection/>
    </xf>
    <xf numFmtId="0" fontId="16" fillId="0" borderId="0" xfId="63" applyFont="1" applyFill="1" applyProtection="1">
      <alignment/>
      <protection/>
    </xf>
    <xf numFmtId="3" fontId="25" fillId="0" borderId="0" xfId="63" applyNumberFormat="1" applyFont="1" applyFill="1" applyProtection="1">
      <alignment/>
      <protection/>
    </xf>
    <xf numFmtId="3" fontId="25" fillId="0" borderId="0" xfId="63" applyNumberFormat="1" applyFont="1" applyFill="1" applyAlignment="1" applyProtection="1">
      <alignment horizontal="center"/>
      <protection/>
    </xf>
    <xf numFmtId="0" fontId="25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176" fontId="13" fillId="0" borderId="12" xfId="62" applyNumberFormat="1" applyFont="1" applyFill="1" applyBorder="1" applyAlignment="1" applyProtection="1">
      <alignment horizontal="center" vertical="center"/>
      <protection/>
    </xf>
    <xf numFmtId="178" fontId="13" fillId="0" borderId="68" xfId="62" applyNumberFormat="1" applyFont="1" applyFill="1" applyBorder="1" applyAlignment="1" applyProtection="1">
      <alignment vertical="center"/>
      <protection locked="0"/>
    </xf>
    <xf numFmtId="178" fontId="13" fillId="0" borderId="26" xfId="62" applyNumberFormat="1" applyFont="1" applyFill="1" applyBorder="1" applyAlignment="1" applyProtection="1">
      <alignment vertical="center"/>
      <protection locked="0"/>
    </xf>
    <xf numFmtId="178" fontId="12" fillId="0" borderId="26" xfId="62" applyNumberFormat="1" applyFont="1" applyFill="1" applyBorder="1" applyAlignment="1" applyProtection="1">
      <alignment vertical="center"/>
      <protection/>
    </xf>
    <xf numFmtId="178" fontId="12" fillId="0" borderId="26" xfId="62" applyNumberFormat="1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/>
    </xf>
    <xf numFmtId="0" fontId="12" fillId="0" borderId="21" xfId="62" applyFont="1" applyFill="1" applyBorder="1" applyAlignment="1" applyProtection="1">
      <alignment horizontal="left" vertical="center" wrapText="1"/>
      <protection/>
    </xf>
    <xf numFmtId="178" fontId="12" fillId="0" borderId="58" xfId="62" applyNumberFormat="1" applyFont="1" applyFill="1" applyBorder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25" xfId="63" applyFont="1" applyFill="1" applyBorder="1" applyAlignment="1">
      <alignment horizontal="center" vertical="center" wrapText="1"/>
      <protection/>
    </xf>
    <xf numFmtId="0" fontId="15" fillId="0" borderId="69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8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12" xfId="63" applyNumberFormat="1" applyFont="1" applyFill="1" applyBorder="1" applyProtection="1">
      <alignment/>
      <protection locked="0"/>
    </xf>
    <xf numFmtId="3" fontId="16" fillId="0" borderId="68" xfId="63" applyNumberFormat="1" applyFont="1" applyFill="1" applyBorder="1" applyProtection="1">
      <alignment/>
      <protection locked="0"/>
    </xf>
    <xf numFmtId="0" fontId="16" fillId="0" borderId="11" xfId="63" applyFont="1" applyFill="1" applyBorder="1" applyAlignment="1">
      <alignment horizontal="right" indent="1"/>
      <protection/>
    </xf>
    <xf numFmtId="3" fontId="16" fillId="0" borderId="11" xfId="63" applyNumberFormat="1" applyFont="1" applyFill="1" applyBorder="1" applyProtection="1">
      <alignment/>
      <protection locked="0"/>
    </xf>
    <xf numFmtId="3" fontId="16" fillId="0" borderId="26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0" fontId="16" fillId="0" borderId="15" xfId="63" applyFont="1" applyFill="1" applyBorder="1" applyAlignment="1">
      <alignment horizontal="right" indent="1"/>
      <protection/>
    </xf>
    <xf numFmtId="3" fontId="16" fillId="0" borderId="15" xfId="63" applyNumberFormat="1" applyFont="1" applyFill="1" applyBorder="1" applyProtection="1">
      <alignment/>
      <protection locked="0"/>
    </xf>
    <xf numFmtId="3" fontId="16" fillId="0" borderId="27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0" fontId="16" fillId="0" borderId="23" xfId="63" applyFont="1" applyFill="1" applyBorder="1" applyAlignment="1">
      <alignment horizontal="right" indent="1"/>
      <protection/>
    </xf>
    <xf numFmtId="178" fontId="12" fillId="0" borderId="28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3" fontId="16" fillId="0" borderId="70" xfId="63" applyNumberFormat="1" applyFont="1" applyFill="1" applyBorder="1">
      <alignment/>
      <protection/>
    </xf>
    <xf numFmtId="0" fontId="38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0" fillId="0" borderId="0" xfId="63" applyFont="1" applyFill="1" applyAlignment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left" vertical="top" wrapText="1"/>
      <protection locked="0"/>
    </xf>
    <xf numFmtId="9" fontId="41" fillId="0" borderId="12" xfId="71" applyFont="1" applyBorder="1" applyAlignment="1" applyProtection="1">
      <alignment horizontal="center" vertical="center" wrapText="1"/>
      <protection locked="0"/>
    </xf>
    <xf numFmtId="168" fontId="41" fillId="0" borderId="12" xfId="42" applyNumberFormat="1" applyFont="1" applyBorder="1" applyAlignment="1" applyProtection="1">
      <alignment horizontal="center" vertical="center" wrapText="1"/>
      <protection locked="0"/>
    </xf>
    <xf numFmtId="168" fontId="41" fillId="0" borderId="68" xfId="42" applyNumberFormat="1" applyFont="1" applyBorder="1" applyAlignment="1" applyProtection="1">
      <alignment horizontal="center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9" fontId="41" fillId="0" borderId="11" xfId="71" applyFont="1" applyBorder="1" applyAlignment="1" applyProtection="1">
      <alignment horizontal="center" vertical="center" wrapText="1"/>
      <protection locked="0"/>
    </xf>
    <xf numFmtId="168" fontId="41" fillId="0" borderId="11" xfId="42" applyNumberFormat="1" applyFont="1" applyBorder="1" applyAlignment="1" applyProtection="1">
      <alignment horizontal="center" vertical="center" wrapText="1"/>
      <protection locked="0"/>
    </xf>
    <xf numFmtId="168" fontId="41" fillId="0" borderId="26" xfId="42" applyNumberFormat="1" applyFont="1" applyBorder="1" applyAlignment="1" applyProtection="1">
      <alignment horizontal="center" vertical="top" wrapText="1"/>
      <protection locked="0"/>
    </xf>
    <xf numFmtId="0" fontId="41" fillId="0" borderId="15" xfId="0" applyFont="1" applyBorder="1" applyAlignment="1" applyProtection="1">
      <alignment horizontal="left" vertical="top" wrapText="1"/>
      <protection locked="0"/>
    </xf>
    <xf numFmtId="9" fontId="41" fillId="0" borderId="15" xfId="71" applyFont="1" applyBorder="1" applyAlignment="1" applyProtection="1">
      <alignment horizontal="center" vertical="center" wrapText="1"/>
      <protection locked="0"/>
    </xf>
    <xf numFmtId="168" fontId="41" fillId="0" borderId="15" xfId="42" applyNumberFormat="1" applyFont="1" applyBorder="1" applyAlignment="1" applyProtection="1">
      <alignment horizontal="center" vertical="center" wrapText="1"/>
      <protection locked="0"/>
    </xf>
    <xf numFmtId="168" fontId="41" fillId="0" borderId="27" xfId="42" applyNumberFormat="1" applyFont="1" applyBorder="1" applyAlignment="1" applyProtection="1">
      <alignment horizontal="center" vertical="top" wrapText="1"/>
      <protection locked="0"/>
    </xf>
    <xf numFmtId="0" fontId="39" fillId="35" borderId="23" xfId="0" applyFont="1" applyFill="1" applyBorder="1" applyAlignment="1" applyProtection="1">
      <alignment horizontal="center" vertical="top" wrapText="1"/>
      <protection/>
    </xf>
    <xf numFmtId="168" fontId="41" fillId="0" borderId="23" xfId="42" applyNumberFormat="1" applyFont="1" applyBorder="1" applyAlignment="1" applyProtection="1">
      <alignment horizontal="center" vertical="center" wrapText="1"/>
      <protection/>
    </xf>
    <xf numFmtId="168" fontId="41" fillId="0" borderId="28" xfId="42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2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3" fillId="0" borderId="29" xfId="0" applyFont="1" applyFill="1" applyBorder="1" applyAlignment="1">
      <alignment horizontal="left" vertical="center" indent="5"/>
    </xf>
    <xf numFmtId="166" fontId="20" fillId="0" borderId="31" xfId="61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12" fillId="0" borderId="22" xfId="61" applyFont="1" applyFill="1" applyBorder="1" applyAlignment="1" applyProtection="1">
      <alignment horizontal="center" vertical="center" wrapText="1"/>
      <protection locked="0"/>
    </xf>
    <xf numFmtId="0" fontId="12" fillId="0" borderId="23" xfId="61" applyFont="1" applyFill="1" applyBorder="1" applyAlignment="1" applyProtection="1">
      <alignment horizontal="center" vertical="center" wrapText="1"/>
      <protection locked="0"/>
    </xf>
    <xf numFmtId="0" fontId="12" fillId="0" borderId="28" xfId="61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vertical="center" wrapText="1"/>
      <protection locked="0"/>
    </xf>
    <xf numFmtId="166" fontId="6" fillId="0" borderId="65" xfId="0" applyNumberFormat="1" applyFont="1" applyFill="1" applyBorder="1" applyAlignment="1" applyProtection="1">
      <alignment horizontal="center" vertical="center"/>
      <protection locked="0"/>
    </xf>
    <xf numFmtId="166" fontId="6" fillId="0" borderId="29" xfId="0" applyNumberFormat="1" applyFont="1" applyFill="1" applyBorder="1" applyAlignment="1" applyProtection="1">
      <alignment horizontal="center" vertical="center"/>
      <protection locked="0"/>
    </xf>
    <xf numFmtId="166" fontId="6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25" fillId="0" borderId="0" xfId="63" applyFill="1" applyProtection="1">
      <alignment/>
      <protection locked="0"/>
    </xf>
    <xf numFmtId="0" fontId="31" fillId="0" borderId="0" xfId="63" applyFont="1" applyFill="1" applyProtection="1">
      <alignment/>
      <protection locked="0"/>
    </xf>
    <xf numFmtId="0" fontId="26" fillId="0" borderId="21" xfId="63" applyFont="1" applyFill="1" applyBorder="1" applyAlignment="1" applyProtection="1">
      <alignment horizontal="center" vertical="center" wrapText="1"/>
      <protection locked="0"/>
    </xf>
    <xf numFmtId="0" fontId="26" fillId="0" borderId="29" xfId="63" applyFont="1" applyFill="1" applyBorder="1" applyAlignment="1" applyProtection="1">
      <alignment horizontal="center" vertical="center" wrapText="1"/>
      <protection locked="0"/>
    </xf>
    <xf numFmtId="0" fontId="26" fillId="0" borderId="58" xfId="63" applyFont="1" applyFill="1" applyBorder="1" applyAlignment="1" applyProtection="1">
      <alignment horizontal="center" vertical="center" wrapText="1"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11" fillId="0" borderId="0" xfId="62" applyFont="1" applyFill="1" applyAlignment="1" applyProtection="1">
      <alignment horizontal="center" vertical="center"/>
      <protection locked="0"/>
    </xf>
    <xf numFmtId="0" fontId="0" fillId="0" borderId="0" xfId="62" applyFill="1" applyAlignment="1" applyProtection="1">
      <alignment vertical="center"/>
      <protection locked="0"/>
    </xf>
    <xf numFmtId="49" fontId="12" fillId="0" borderId="21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62" applyNumberFormat="1" applyFont="1" applyFill="1" applyBorder="1" applyAlignment="1" applyProtection="1">
      <alignment horizontal="center" vertical="center"/>
      <protection locked="0"/>
    </xf>
    <xf numFmtId="49" fontId="12" fillId="0" borderId="58" xfId="62" applyNumberFormat="1" applyFont="1" applyFill="1" applyBorder="1" applyAlignment="1" applyProtection="1">
      <alignment horizontal="center" vertical="center"/>
      <protection locked="0"/>
    </xf>
    <xf numFmtId="0" fontId="25" fillId="0" borderId="0" xfId="63" applyFill="1" applyAlignment="1">
      <alignment/>
      <protection/>
    </xf>
    <xf numFmtId="0" fontId="44" fillId="0" borderId="18" xfId="0" applyFont="1" applyBorder="1" applyAlignment="1" applyProtection="1">
      <alignment horizontal="center" vertical="top" wrapText="1"/>
      <protection/>
    </xf>
    <xf numFmtId="0" fontId="44" fillId="0" borderId="17" xfId="0" applyFont="1" applyBorder="1" applyAlignment="1" applyProtection="1">
      <alignment horizontal="center" vertical="top" wrapText="1"/>
      <protection/>
    </xf>
    <xf numFmtId="0" fontId="44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39" fillId="0" borderId="28" xfId="0" applyFont="1" applyBorder="1" applyAlignment="1" applyProtection="1">
      <alignment horizontal="center" vertical="center" wrapText="1"/>
      <protection locked="0"/>
    </xf>
    <xf numFmtId="179" fontId="0" fillId="0" borderId="26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 applyProtection="1">
      <alignment horizontal="right" vertical="center"/>
      <protection locked="0"/>
    </xf>
    <xf numFmtId="179" fontId="0" fillId="0" borderId="58" xfId="0" applyNumberFormat="1" applyFont="1" applyFill="1" applyBorder="1" applyAlignment="1" applyProtection="1">
      <alignment horizontal="right" vertical="center"/>
      <protection locked="0"/>
    </xf>
    <xf numFmtId="179" fontId="3" fillId="0" borderId="45" xfId="0" applyNumberFormat="1" applyFont="1" applyFill="1" applyBorder="1" applyAlignment="1" applyProtection="1">
      <alignment horizontal="right" vertical="center"/>
      <protection/>
    </xf>
    <xf numFmtId="0" fontId="104" fillId="0" borderId="0" xfId="0" applyFont="1" applyAlignment="1">
      <alignment/>
    </xf>
    <xf numFmtId="0" fontId="104" fillId="0" borderId="0" xfId="0" applyFont="1" applyAlignment="1">
      <alignment horizontal="justify" vertical="top" wrapText="1"/>
    </xf>
    <xf numFmtId="0" fontId="105" fillId="36" borderId="0" xfId="0" applyFont="1" applyFill="1" applyAlignment="1">
      <alignment horizontal="center" vertical="center"/>
    </xf>
    <xf numFmtId="0" fontId="105" fillId="36" borderId="0" xfId="0" applyFont="1" applyFill="1" applyAlignment="1">
      <alignment horizontal="center" vertical="top" wrapText="1"/>
    </xf>
    <xf numFmtId="0" fontId="45" fillId="0" borderId="0" xfId="0" applyFont="1" applyAlignment="1">
      <alignment/>
    </xf>
    <xf numFmtId="0" fontId="94" fillId="0" borderId="0" xfId="46" applyAlignment="1" applyProtection="1">
      <alignment/>
      <protection/>
    </xf>
    <xf numFmtId="166" fontId="106" fillId="0" borderId="0" xfId="0" applyNumberFormat="1" applyFont="1" applyFill="1" applyAlignment="1" applyProtection="1">
      <alignment horizontal="right" vertical="center" wrapText="1" indent="1"/>
      <protection/>
    </xf>
    <xf numFmtId="166" fontId="107" fillId="0" borderId="0" xfId="61" applyNumberFormat="1" applyFont="1" applyFill="1" applyProtection="1">
      <alignment/>
      <protection/>
    </xf>
    <xf numFmtId="166" fontId="107" fillId="0" borderId="0" xfId="61" applyNumberFormat="1" applyFont="1" applyFill="1" applyAlignment="1" applyProtection="1">
      <alignment horizontal="right" vertical="center" indent="1"/>
      <protection/>
    </xf>
    <xf numFmtId="0" fontId="28" fillId="0" borderId="0" xfId="0" applyFont="1" applyAlignment="1" applyProtection="1">
      <alignment horizontal="right" vertical="top"/>
      <protection locked="0"/>
    </xf>
    <xf numFmtId="0" fontId="47" fillId="0" borderId="0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>
      <alignment horizontal="center" vertical="center"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74" xfId="0" applyFill="1" applyBorder="1" applyAlignment="1">
      <alignment/>
    </xf>
    <xf numFmtId="0" fontId="16" fillId="0" borderId="75" xfId="0" applyFont="1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vertical="center"/>
      <protection/>
    </xf>
    <xf numFmtId="0" fontId="15" fillId="0" borderId="59" xfId="0" applyFont="1" applyFill="1" applyBorder="1" applyAlignment="1" applyProtection="1">
      <alignment vertical="center" wrapText="1"/>
      <protection/>
    </xf>
    <xf numFmtId="166" fontId="15" fillId="0" borderId="4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/>
    </xf>
    <xf numFmtId="166" fontId="13" fillId="0" borderId="68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 locked="0"/>
    </xf>
    <xf numFmtId="0" fontId="0" fillId="37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9" fontId="3" fillId="0" borderId="6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66" fontId="0" fillId="0" borderId="0" xfId="60" applyNumberFormat="1" applyAlignment="1">
      <alignment vertical="center" wrapText="1"/>
      <protection/>
    </xf>
    <xf numFmtId="166" fontId="12" fillId="0" borderId="43" xfId="60" applyNumberFormat="1" applyFont="1" applyBorder="1" applyAlignment="1">
      <alignment horizontal="center" vertical="center" wrapText="1"/>
      <protection/>
    </xf>
    <xf numFmtId="3" fontId="13" fillId="0" borderId="66" xfId="60" applyNumberFormat="1" applyFont="1" applyBorder="1" applyAlignment="1" applyProtection="1">
      <alignment horizontal="right" vertical="center" wrapText="1"/>
      <protection locked="0"/>
    </xf>
    <xf numFmtId="3" fontId="13" fillId="0" borderId="40" xfId="60" applyNumberFormat="1" applyFont="1" applyBorder="1" applyAlignment="1" applyProtection="1">
      <alignment horizontal="right" vertical="center" wrapText="1"/>
      <protection locked="0"/>
    </xf>
    <xf numFmtId="3" fontId="13" fillId="0" borderId="76" xfId="60" applyNumberFormat="1" applyFont="1" applyBorder="1" applyAlignment="1" applyProtection="1">
      <alignment horizontal="right" vertical="center" wrapText="1"/>
      <protection locked="0"/>
    </xf>
    <xf numFmtId="3" fontId="13" fillId="0" borderId="77" xfId="60" applyNumberFormat="1" applyFont="1" applyBorder="1" applyAlignment="1" applyProtection="1">
      <alignment horizontal="right" vertical="center" wrapText="1"/>
      <protection locked="0"/>
    </xf>
    <xf numFmtId="166" fontId="12" fillId="0" borderId="43" xfId="60" applyNumberFormat="1" applyFont="1" applyBorder="1" applyAlignment="1">
      <alignment horizontal="right" vertical="center" wrapText="1"/>
      <protection/>
    </xf>
    <xf numFmtId="166" fontId="8" fillId="0" borderId="0" xfId="60" applyNumberFormat="1" applyFont="1" applyAlignment="1" applyProtection="1">
      <alignment vertical="center" wrapText="1"/>
      <protection locked="0"/>
    </xf>
    <xf numFmtId="166" fontId="12" fillId="0" borderId="43" xfId="60" applyNumberFormat="1" applyFont="1" applyBorder="1" applyAlignment="1">
      <alignment horizontal="center" vertical="center" wrapText="1"/>
      <protection/>
    </xf>
    <xf numFmtId="166" fontId="6" fillId="0" borderId="43" xfId="60" applyNumberFormat="1" applyFont="1" applyBorder="1" applyAlignment="1">
      <alignment horizontal="center" vertical="center" wrapText="1"/>
      <protection/>
    </xf>
    <xf numFmtId="166" fontId="52" fillId="0" borderId="78" xfId="60" applyNumberFormat="1" applyFont="1" applyBorder="1" applyAlignment="1">
      <alignment horizontal="center" vertical="center"/>
      <protection/>
    </xf>
    <xf numFmtId="166" fontId="52" fillId="0" borderId="43" xfId="60" applyNumberFormat="1" applyFont="1" applyBorder="1" applyAlignment="1">
      <alignment horizontal="center" vertical="center"/>
      <protection/>
    </xf>
    <xf numFmtId="166" fontId="52" fillId="0" borderId="79" xfId="60" applyNumberFormat="1" applyFont="1" applyBorder="1" applyAlignment="1">
      <alignment horizontal="center" vertical="center"/>
      <protection/>
    </xf>
    <xf numFmtId="166" fontId="52" fillId="0" borderId="43" xfId="60" applyNumberFormat="1" applyFont="1" applyBorder="1" applyAlignment="1">
      <alignment horizontal="center" vertical="center" wrapText="1"/>
      <protection/>
    </xf>
    <xf numFmtId="166" fontId="52" fillId="0" borderId="79" xfId="60" applyNumberFormat="1" applyFont="1" applyBorder="1" applyAlignment="1">
      <alignment horizontal="center" vertical="center" wrapText="1"/>
      <protection/>
    </xf>
    <xf numFmtId="49" fontId="13" fillId="0" borderId="80" xfId="60" applyNumberFormat="1" applyFont="1" applyBorder="1" applyAlignment="1">
      <alignment horizontal="left" vertical="center"/>
      <protection/>
    </xf>
    <xf numFmtId="49" fontId="18" fillId="0" borderId="81" xfId="60" applyNumberFormat="1" applyFont="1" applyBorder="1" applyAlignment="1" quotePrefix="1">
      <alignment horizontal="left" vertical="center"/>
      <protection/>
    </xf>
    <xf numFmtId="49" fontId="13" fillId="0" borderId="81" xfId="60" applyNumberFormat="1" applyFont="1" applyBorder="1" applyAlignment="1">
      <alignment horizontal="left" vertical="center"/>
      <protection/>
    </xf>
    <xf numFmtId="49" fontId="12" fillId="0" borderId="59" xfId="60" applyNumberFormat="1" applyFont="1" applyBorder="1" applyAlignment="1" applyProtection="1">
      <alignment horizontal="left" vertical="center"/>
      <protection locked="0"/>
    </xf>
    <xf numFmtId="49" fontId="13" fillId="0" borderId="18" xfId="60" applyNumberFormat="1" applyFont="1" applyBorder="1" applyAlignment="1">
      <alignment horizontal="left" vertical="center"/>
      <protection/>
    </xf>
    <xf numFmtId="49" fontId="13" fillId="0" borderId="17" xfId="60" applyNumberFormat="1" applyFont="1" applyBorder="1" applyAlignment="1">
      <alignment horizontal="left" vertical="center"/>
      <protection/>
    </xf>
    <xf numFmtId="49" fontId="13" fillId="0" borderId="19" xfId="60" applyNumberFormat="1" applyFont="1" applyBorder="1" applyAlignment="1" applyProtection="1">
      <alignment horizontal="left" vertical="center"/>
      <protection locked="0"/>
    </xf>
    <xf numFmtId="175" fontId="12" fillId="0" borderId="43" xfId="60" applyNumberFormat="1" applyFont="1" applyBorder="1" applyAlignment="1">
      <alignment horizontal="left" vertical="center" wrapText="1"/>
      <protection/>
    </xf>
    <xf numFmtId="175" fontId="26" fillId="0" borderId="0" xfId="60" applyNumberFormat="1" applyFont="1" applyAlignment="1" applyProtection="1">
      <alignment horizontal="left" vertical="center" wrapText="1"/>
      <protection locked="0"/>
    </xf>
    <xf numFmtId="0" fontId="108" fillId="0" borderId="0" xfId="0" applyFont="1" applyAlignment="1">
      <alignment/>
    </xf>
    <xf numFmtId="166" fontId="3" fillId="0" borderId="0" xfId="60" applyNumberFormat="1" applyFont="1" applyBorder="1" applyAlignment="1">
      <alignment horizontal="left" vertical="center" wrapText="1"/>
      <protection/>
    </xf>
    <xf numFmtId="166" fontId="12" fillId="0" borderId="0" xfId="60" applyNumberFormat="1" applyFont="1" applyBorder="1" applyAlignment="1">
      <alignment horizontal="right" vertical="center" wrapText="1"/>
      <protection/>
    </xf>
    <xf numFmtId="166" fontId="13" fillId="0" borderId="73" xfId="60" applyNumberFormat="1" applyFont="1" applyBorder="1" applyAlignment="1" applyProtection="1">
      <alignment horizontal="right" vertical="center" indent="1"/>
      <protection locked="0"/>
    </xf>
    <xf numFmtId="166" fontId="13" fillId="0" borderId="73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66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0" applyNumberFormat="1" applyFont="1" applyBorder="1" applyAlignment="1">
      <alignment horizontal="right" vertical="center" wrapText="1" indent="1"/>
      <protection/>
    </xf>
    <xf numFmtId="166" fontId="18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41" xfId="60" applyNumberFormat="1" applyFont="1" applyBorder="1" applyAlignment="1">
      <alignment horizontal="right" vertical="center" wrapText="1" indent="1"/>
      <protection/>
    </xf>
    <xf numFmtId="166" fontId="12" fillId="0" borderId="43" xfId="60" applyNumberFormat="1" applyFont="1" applyBorder="1" applyAlignment="1">
      <alignment horizontal="right" vertical="center" indent="1"/>
      <protection/>
    </xf>
    <xf numFmtId="166" fontId="12" fillId="0" borderId="43" xfId="60" applyNumberFormat="1" applyFont="1" applyBorder="1" applyAlignment="1">
      <alignment horizontal="right" vertical="center" wrapText="1" indent="1"/>
      <protection/>
    </xf>
    <xf numFmtId="166" fontId="13" fillId="0" borderId="77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76" xfId="60" applyNumberFormat="1" applyFont="1" applyBorder="1" applyAlignment="1">
      <alignment horizontal="right" vertical="center" wrapText="1" indent="1"/>
      <protection/>
    </xf>
    <xf numFmtId="166" fontId="12" fillId="0" borderId="73" xfId="60" applyNumberFormat="1" applyFont="1" applyBorder="1" applyAlignment="1" applyProtection="1">
      <alignment horizontal="right" vertical="center" wrapText="1" indent="1"/>
      <protection locked="0"/>
    </xf>
    <xf numFmtId="166" fontId="42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73" xfId="60" applyNumberFormat="1" applyFont="1" applyBorder="1" applyAlignment="1" applyProtection="1">
      <alignment horizontal="right" vertical="center" indent="1"/>
      <protection/>
    </xf>
    <xf numFmtId="166" fontId="18" fillId="0" borderId="41" xfId="60" applyNumberFormat="1" applyFont="1" applyBorder="1" applyAlignment="1" applyProtection="1">
      <alignment horizontal="right" vertical="center" indent="1"/>
      <protection/>
    </xf>
    <xf numFmtId="166" fontId="13" fillId="0" borderId="41" xfId="60" applyNumberFormat="1" applyFont="1" applyBorder="1" applyAlignment="1" applyProtection="1">
      <alignment horizontal="right" vertical="center" indent="1"/>
      <protection/>
    </xf>
    <xf numFmtId="166" fontId="12" fillId="0" borderId="43" xfId="60" applyNumberFormat="1" applyFont="1" applyBorder="1" applyAlignment="1" applyProtection="1">
      <alignment horizontal="right" vertical="center" indent="1"/>
      <protection/>
    </xf>
    <xf numFmtId="166" fontId="13" fillId="0" borderId="77" xfId="60" applyNumberFormat="1" applyFont="1" applyBorder="1" applyAlignment="1" applyProtection="1">
      <alignment horizontal="right" vertical="center" indent="1"/>
      <protection/>
    </xf>
    <xf numFmtId="3" fontId="16" fillId="0" borderId="70" xfId="63" applyNumberFormat="1" applyFont="1" applyFill="1" applyBorder="1" applyProtection="1">
      <alignment/>
      <protection locked="0"/>
    </xf>
    <xf numFmtId="0" fontId="16" fillId="0" borderId="12" xfId="0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16" fillId="0" borderId="15" xfId="0" applyFont="1" applyBorder="1" applyAlignment="1" applyProtection="1">
      <alignment horizontal="left" indent="1"/>
      <protection locked="0"/>
    </xf>
    <xf numFmtId="0" fontId="10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82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6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61" applyFont="1" applyFill="1" applyBorder="1" applyAlignment="1" applyProtection="1">
      <alignment horizontal="left" vertical="center" wrapText="1" indent="1"/>
      <protection/>
    </xf>
    <xf numFmtId="0" fontId="13" fillId="0" borderId="23" xfId="61" applyFont="1" applyFill="1" applyBorder="1" applyAlignment="1" applyProtection="1">
      <alignment horizontal="left" vertical="center" wrapText="1"/>
      <protection/>
    </xf>
    <xf numFmtId="166" fontId="13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11" fillId="0" borderId="11" xfId="0" applyNumberFormat="1" applyFont="1" applyBorder="1" applyAlignment="1" applyProtection="1">
      <alignment vertical="center" wrapText="1"/>
      <protection locked="0"/>
    </xf>
    <xf numFmtId="166" fontId="11" fillId="0" borderId="0" xfId="0" applyNumberFormat="1" applyFont="1" applyAlignment="1" applyProtection="1">
      <alignment horizontal="center" vertical="center" wrapText="1"/>
      <protection locked="0"/>
    </xf>
    <xf numFmtId="166" fontId="13" fillId="0" borderId="17" xfId="0" applyNumberFormat="1" applyFont="1" applyBorder="1" applyAlignment="1" applyProtection="1">
      <alignment horizontal="left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166" fontId="0" fillId="0" borderId="16" xfId="0" applyNumberFormat="1" applyBorder="1" applyAlignment="1" applyProtection="1">
      <alignment horizontal="left" vertical="center" wrapText="1"/>
      <protection locked="0"/>
    </xf>
    <xf numFmtId="166" fontId="109" fillId="0" borderId="17" xfId="0" applyNumberFormat="1" applyFont="1" applyBorder="1" applyAlignment="1" applyProtection="1">
      <alignment horizontal="left" vertical="center" wrapText="1"/>
      <protection locked="0"/>
    </xf>
    <xf numFmtId="166" fontId="110" fillId="0" borderId="11" xfId="0" applyNumberFormat="1" applyFont="1" applyBorder="1" applyAlignment="1" applyProtection="1">
      <alignment vertical="center" wrapText="1"/>
      <protection locked="0"/>
    </xf>
    <xf numFmtId="166" fontId="42" fillId="0" borderId="17" xfId="0" applyNumberFormat="1" applyFont="1" applyBorder="1" applyAlignment="1" applyProtection="1">
      <alignment horizontal="left" vertical="center" wrapText="1"/>
      <protection locked="0"/>
    </xf>
    <xf numFmtId="166" fontId="20" fillId="0" borderId="11" xfId="0" applyNumberFormat="1" applyFont="1" applyBorder="1" applyAlignment="1" applyProtection="1">
      <alignment vertical="center" wrapText="1"/>
      <protection locked="0"/>
    </xf>
    <xf numFmtId="166" fontId="42" fillId="0" borderId="16" xfId="0" applyNumberFormat="1" applyFont="1" applyBorder="1" applyAlignment="1" applyProtection="1">
      <alignment horizontal="left" vertical="center" wrapText="1"/>
      <protection locked="0"/>
    </xf>
    <xf numFmtId="166" fontId="20" fillId="0" borderId="10" xfId="0" applyNumberFormat="1" applyFont="1" applyBorder="1" applyAlignment="1" applyProtection="1">
      <alignment vertical="center" wrapText="1"/>
      <protection locked="0"/>
    </xf>
    <xf numFmtId="166" fontId="6" fillId="0" borderId="22" xfId="0" applyNumberFormat="1" applyFont="1" applyBorder="1" applyAlignment="1">
      <alignment horizontal="left" vertical="center" wrapText="1"/>
    </xf>
    <xf numFmtId="166" fontId="12" fillId="0" borderId="23" xfId="0" applyNumberFormat="1" applyFont="1" applyBorder="1" applyAlignment="1">
      <alignment vertical="center" wrapText="1"/>
    </xf>
    <xf numFmtId="166" fontId="11" fillId="0" borderId="0" xfId="0" applyNumberFormat="1" applyFont="1" applyAlignment="1" applyProtection="1">
      <alignment horizontal="right" vertical="center" wrapText="1"/>
      <protection locked="0"/>
    </xf>
    <xf numFmtId="166" fontId="11" fillId="0" borderId="11" xfId="0" applyNumberFormat="1" applyFont="1" applyBorder="1" applyAlignment="1" applyProtection="1">
      <alignment horizontal="right" vertical="center" wrapText="1"/>
      <protection locked="0"/>
    </xf>
    <xf numFmtId="166" fontId="11" fillId="0" borderId="17" xfId="0" applyNumberFormat="1" applyFont="1" applyBorder="1" applyAlignment="1" applyProtection="1">
      <alignment horizontal="left" vertical="center" wrapText="1" inden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166" fontId="110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10" xfId="0" applyNumberFormat="1" applyFont="1" applyBorder="1" applyAlignment="1" applyProtection="1">
      <alignment horizontal="right" vertical="center" wrapText="1"/>
      <protection locked="0"/>
    </xf>
    <xf numFmtId="166" fontId="13" fillId="0" borderId="67" xfId="0" applyNumberFormat="1" applyFont="1" applyFill="1" applyBorder="1" applyAlignment="1" applyProtection="1">
      <alignment vertical="center" wrapText="1"/>
      <protection/>
    </xf>
    <xf numFmtId="166" fontId="20" fillId="38" borderId="11" xfId="0" applyNumberFormat="1" applyFont="1" applyFill="1" applyBorder="1" applyAlignment="1" applyProtection="1">
      <alignment vertical="center" wrapText="1"/>
      <protection locked="0"/>
    </xf>
    <xf numFmtId="0" fontId="0" fillId="0" borderId="73" xfId="0" applyBorder="1" applyAlignment="1" applyProtection="1">
      <alignment/>
      <protection locked="0"/>
    </xf>
    <xf numFmtId="0" fontId="16" fillId="0" borderId="83" xfId="0" applyFont="1" applyBorder="1" applyAlignment="1" applyProtection="1">
      <alignment horizontal="left" vertical="center" wrapText="1"/>
      <protection locked="0"/>
    </xf>
    <xf numFmtId="0" fontId="0" fillId="0" borderId="74" xfId="0" applyBorder="1" applyAlignment="1" applyProtection="1">
      <alignment/>
      <protection locked="0"/>
    </xf>
    <xf numFmtId="0" fontId="16" fillId="0" borderId="84" xfId="0" applyFont="1" applyBorder="1" applyAlignment="1" applyProtection="1">
      <alignment horizontal="left" vertical="center" wrapText="1"/>
      <protection locked="0"/>
    </xf>
    <xf numFmtId="3" fontId="53" fillId="0" borderId="85" xfId="0" applyNumberFormat="1" applyFont="1" applyBorder="1" applyAlignment="1" applyProtection="1">
      <alignment horizontal="right" vertical="center" wrapText="1"/>
      <protection locked="0"/>
    </xf>
    <xf numFmtId="3" fontId="53" fillId="0" borderId="86" xfId="0" applyNumberFormat="1" applyFont="1" applyFill="1" applyBorder="1" applyAlignment="1" applyProtection="1">
      <alignment horizontal="left" vertical="center" wrapText="1"/>
      <protection locked="0"/>
    </xf>
    <xf numFmtId="3" fontId="53" fillId="0" borderId="87" xfId="0" applyNumberFormat="1" applyFont="1" applyFill="1" applyBorder="1" applyAlignment="1" applyProtection="1">
      <alignment horizontal="right" vertical="center" wrapText="1"/>
      <protection locked="0"/>
    </xf>
    <xf numFmtId="3" fontId="53" fillId="0" borderId="0" xfId="0" applyNumberFormat="1" applyFont="1" applyAlignment="1" applyProtection="1">
      <alignment/>
      <protection locked="0"/>
    </xf>
    <xf numFmtId="0" fontId="16" fillId="0" borderId="75" xfId="0" applyFont="1" applyBorder="1" applyAlignment="1" applyProtection="1">
      <alignment horizontal="left" vertical="center" wrapText="1"/>
      <protection locked="0"/>
    </xf>
    <xf numFmtId="3" fontId="53" fillId="0" borderId="87" xfId="0" applyNumberFormat="1" applyFont="1" applyBorder="1" applyAlignment="1" applyProtection="1">
      <alignment horizontal="right" vertical="center" wrapText="1"/>
      <protection locked="0"/>
    </xf>
    <xf numFmtId="0" fontId="0" fillId="0" borderId="44" xfId="0" applyFill="1" applyBorder="1" applyAlignment="1">
      <alignment/>
    </xf>
    <xf numFmtId="0" fontId="16" fillId="0" borderId="42" xfId="0" applyFont="1" applyFill="1" applyBorder="1" applyAlignment="1" applyProtection="1">
      <alignment horizontal="left" vertical="center" wrapText="1"/>
      <protection locked="0"/>
    </xf>
    <xf numFmtId="3" fontId="53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53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>
      <alignment/>
    </xf>
    <xf numFmtId="166" fontId="2" fillId="0" borderId="0" xfId="61" applyNumberFormat="1" applyFill="1" applyProtection="1">
      <alignment/>
      <protection/>
    </xf>
    <xf numFmtId="0" fontId="111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19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6" fillId="0" borderId="88" xfId="61" applyFont="1" applyFill="1" applyBorder="1" applyAlignment="1" applyProtection="1">
      <alignment horizontal="center" vertical="center" wrapText="1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45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/>
      <protection/>
    </xf>
    <xf numFmtId="166" fontId="5" fillId="0" borderId="0" xfId="61" applyNumberFormat="1" applyFont="1" applyFill="1" applyBorder="1" applyAlignment="1" applyProtection="1">
      <alignment horizontal="center" vertical="center"/>
      <protection locked="0"/>
    </xf>
    <xf numFmtId="166" fontId="5" fillId="0" borderId="0" xfId="61" applyNumberFormat="1" applyFont="1" applyFill="1" applyBorder="1" applyAlignment="1" applyProtection="1">
      <alignment horizontal="center" vertical="center"/>
      <protection/>
    </xf>
    <xf numFmtId="166" fontId="20" fillId="0" borderId="31" xfId="61" applyNumberFormat="1" applyFont="1" applyFill="1" applyBorder="1" applyAlignment="1" applyProtection="1">
      <alignment horizontal="left" vertical="center"/>
      <protection locked="0"/>
    </xf>
    <xf numFmtId="166" fontId="20" fillId="0" borderId="31" xfId="61" applyNumberFormat="1" applyFont="1" applyFill="1" applyBorder="1" applyAlignment="1" applyProtection="1">
      <alignment horizontal="left"/>
      <protection/>
    </xf>
    <xf numFmtId="0" fontId="8" fillId="0" borderId="0" xfId="61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166" fontId="20" fillId="0" borderId="31" xfId="61" applyNumberFormat="1" applyFont="1" applyFill="1" applyBorder="1" applyAlignment="1" applyProtection="1">
      <alignment horizontal="lef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38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32" xfId="61" applyFont="1" applyFill="1" applyBorder="1" applyAlignment="1" applyProtection="1">
      <alignment horizontal="center" vertical="center" wrapText="1"/>
      <protection/>
    </xf>
    <xf numFmtId="166" fontId="6" fillId="0" borderId="7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9" xfId="0" applyNumberFormat="1" applyFont="1" applyFill="1" applyBorder="1" applyAlignment="1" applyProtection="1">
      <alignment horizontal="center" vertical="center" wrapText="1"/>
      <protection locked="0"/>
    </xf>
    <xf numFmtId="166" fontId="112" fillId="0" borderId="61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60" applyFont="1" applyAlignment="1">
      <alignment horizontal="right" vertical="center"/>
      <protection/>
    </xf>
    <xf numFmtId="0" fontId="50" fillId="0" borderId="0" xfId="60" applyFont="1" applyAlignment="1">
      <alignment horizontal="center" textRotation="180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75" fontId="5" fillId="0" borderId="0" xfId="60" applyNumberFormat="1" applyFont="1" applyAlignment="1" applyProtection="1">
      <alignment horizontal="center" vertical="center" wrapText="1"/>
      <protection locked="0"/>
    </xf>
    <xf numFmtId="166" fontId="4" fillId="0" borderId="31" xfId="60" applyNumberFormat="1" applyFont="1" applyBorder="1" applyAlignment="1">
      <alignment horizontal="right" vertical="center"/>
      <protection/>
    </xf>
    <xf numFmtId="166" fontId="3" fillId="0" borderId="59" xfId="60" applyNumberFormat="1" applyFont="1" applyBorder="1" applyAlignment="1">
      <alignment horizontal="center" vertical="center" wrapText="1"/>
      <protection/>
    </xf>
    <xf numFmtId="166" fontId="3" fillId="0" borderId="56" xfId="60" applyNumberFormat="1" applyFont="1" applyBorder="1" applyAlignment="1">
      <alignment horizontal="center" vertical="center" wrapText="1"/>
      <protection/>
    </xf>
    <xf numFmtId="166" fontId="3" fillId="0" borderId="34" xfId="60" applyNumberFormat="1" applyFont="1" applyBorder="1" applyAlignment="1">
      <alignment horizontal="center" vertical="center" wrapText="1"/>
      <protection/>
    </xf>
    <xf numFmtId="166" fontId="0" fillId="0" borderId="80" xfId="60" applyNumberFormat="1" applyBorder="1" applyAlignment="1" applyProtection="1">
      <alignment horizontal="left" vertical="center" wrapText="1"/>
      <protection locked="0"/>
    </xf>
    <xf numFmtId="166" fontId="0" fillId="0" borderId="63" xfId="60" applyNumberFormat="1" applyBorder="1" applyAlignment="1" applyProtection="1">
      <alignment horizontal="left" vertical="center" wrapText="1"/>
      <protection locked="0"/>
    </xf>
    <xf numFmtId="166" fontId="0" fillId="0" borderId="48" xfId="60" applyNumberFormat="1" applyBorder="1" applyAlignment="1" applyProtection="1">
      <alignment horizontal="left" vertical="center" wrapText="1"/>
      <protection locked="0"/>
    </xf>
    <xf numFmtId="166" fontId="0" fillId="0" borderId="89" xfId="60" applyNumberFormat="1" applyBorder="1" applyAlignment="1" applyProtection="1">
      <alignment horizontal="left" vertical="center" wrapText="1"/>
      <protection locked="0"/>
    </xf>
    <xf numFmtId="166" fontId="0" fillId="0" borderId="90" xfId="60" applyNumberFormat="1" applyBorder="1" applyAlignment="1" applyProtection="1">
      <alignment horizontal="left" vertical="center" wrapText="1"/>
      <protection locked="0"/>
    </xf>
    <xf numFmtId="166" fontId="0" fillId="0" borderId="49" xfId="60" applyNumberFormat="1" applyBorder="1" applyAlignment="1" applyProtection="1">
      <alignment horizontal="left" vertical="center" wrapText="1"/>
      <protection locked="0"/>
    </xf>
    <xf numFmtId="166" fontId="3" fillId="0" borderId="59" xfId="60" applyNumberFormat="1" applyFont="1" applyBorder="1" applyAlignment="1">
      <alignment horizontal="left" vertical="center" wrapText="1"/>
      <protection/>
    </xf>
    <xf numFmtId="166" fontId="3" fillId="0" borderId="56" xfId="60" applyNumberFormat="1" applyFont="1" applyBorder="1" applyAlignment="1">
      <alignment horizontal="left" vertical="center" wrapText="1"/>
      <protection/>
    </xf>
    <xf numFmtId="166" fontId="3" fillId="0" borderId="34" xfId="60" applyNumberFormat="1" applyFont="1" applyBorder="1" applyAlignment="1">
      <alignment horizontal="left" vertical="center" wrapText="1"/>
      <protection/>
    </xf>
    <xf numFmtId="166" fontId="19" fillId="0" borderId="0" xfId="60" applyNumberFormat="1" applyFont="1" applyAlignment="1" applyProtection="1">
      <alignment horizontal="left" vertical="center" wrapText="1"/>
      <protection locked="0"/>
    </xf>
    <xf numFmtId="166" fontId="0" fillId="0" borderId="0" xfId="60" applyNumberFormat="1" applyFont="1" applyAlignment="1" applyProtection="1">
      <alignment horizontal="left" vertical="center" wrapText="1"/>
      <protection locked="0"/>
    </xf>
    <xf numFmtId="166" fontId="0" fillId="0" borderId="0" xfId="60" applyNumberFormat="1" applyAlignment="1" applyProtection="1">
      <alignment horizontal="left" vertical="center" wrapText="1"/>
      <protection locked="0"/>
    </xf>
    <xf numFmtId="166" fontId="4" fillId="0" borderId="31" xfId="60" applyNumberFormat="1" applyFont="1" applyBorder="1" applyAlignment="1" applyProtection="1">
      <alignment horizontal="right" vertical="center"/>
      <protection locked="0"/>
    </xf>
    <xf numFmtId="166" fontId="6" fillId="0" borderId="72" xfId="60" applyNumberFormat="1" applyFont="1" applyBorder="1" applyAlignment="1">
      <alignment horizontal="center" vertical="center"/>
      <protection/>
    </xf>
    <xf numFmtId="166" fontId="6" fillId="0" borderId="42" xfId="60" applyNumberFormat="1" applyFont="1" applyBorder="1" applyAlignment="1">
      <alignment horizontal="center" vertical="center"/>
      <protection/>
    </xf>
    <xf numFmtId="166" fontId="6" fillId="0" borderId="78" xfId="60" applyNumberFormat="1" applyFont="1" applyBorder="1" applyAlignment="1">
      <alignment horizontal="center" vertical="center"/>
      <protection/>
    </xf>
    <xf numFmtId="166" fontId="6" fillId="0" borderId="72" xfId="60" applyNumberFormat="1" applyFont="1" applyBorder="1" applyAlignment="1">
      <alignment horizontal="center" vertical="center" wrapText="1"/>
      <protection/>
    </xf>
    <xf numFmtId="166" fontId="6" fillId="0" borderId="61" xfId="60" applyNumberFormat="1" applyFont="1" applyBorder="1" applyAlignment="1">
      <alignment horizontal="center" vertical="center" wrapText="1"/>
      <protection/>
    </xf>
    <xf numFmtId="0" fontId="0" fillId="0" borderId="61" xfId="60" applyBorder="1" applyAlignment="1">
      <alignment horizontal="center" vertical="center" wrapText="1"/>
      <protection/>
    </xf>
    <xf numFmtId="0" fontId="0" fillId="0" borderId="47" xfId="60" applyBorder="1" applyAlignment="1">
      <alignment horizontal="center" vertical="center" wrapText="1"/>
      <protection/>
    </xf>
    <xf numFmtId="166" fontId="3" fillId="0" borderId="73" xfId="60" applyNumberFormat="1" applyFont="1" applyBorder="1" applyAlignment="1">
      <alignment horizontal="center" vertical="center" wrapText="1"/>
      <protection/>
    </xf>
    <xf numFmtId="166" fontId="3" fillId="0" borderId="44" xfId="60" applyNumberFormat="1" applyFont="1" applyBorder="1" applyAlignment="1">
      <alignment horizontal="center" vertical="center"/>
      <protection/>
    </xf>
    <xf numFmtId="0" fontId="113" fillId="0" borderId="79" xfId="0" applyFont="1" applyBorder="1" applyAlignment="1">
      <alignment horizontal="center" vertical="center"/>
    </xf>
    <xf numFmtId="166" fontId="6" fillId="0" borderId="59" xfId="60" applyNumberFormat="1" applyFont="1" applyBorder="1" applyAlignment="1">
      <alignment horizontal="center" vertical="center" wrapText="1"/>
      <protection/>
    </xf>
    <xf numFmtId="0" fontId="0" fillId="0" borderId="56" xfId="60" applyBorder="1" applyAlignment="1">
      <alignment horizontal="center" vertical="center" wrapText="1"/>
      <protection/>
    </xf>
    <xf numFmtId="0" fontId="0" fillId="0" borderId="34" xfId="60" applyBorder="1" applyAlignment="1">
      <alignment horizontal="center" vertical="center" wrapText="1"/>
      <protection/>
    </xf>
    <xf numFmtId="166" fontId="6" fillId="0" borderId="73" xfId="60" applyNumberFormat="1" applyFont="1" applyBorder="1" applyAlignment="1">
      <alignment horizontal="center" vertical="center" wrapText="1"/>
      <protection/>
    </xf>
    <xf numFmtId="0" fontId="114" fillId="0" borderId="79" xfId="0" applyFont="1" applyBorder="1" applyAlignment="1">
      <alignment horizontal="center" vertical="center" wrapText="1"/>
    </xf>
    <xf numFmtId="166" fontId="12" fillId="0" borderId="59" xfId="60" applyNumberFormat="1" applyFont="1" applyBorder="1" applyAlignment="1" applyProtection="1">
      <alignment horizontal="center" vertical="center" wrapText="1"/>
      <protection/>
    </xf>
    <xf numFmtId="166" fontId="12" fillId="0" borderId="56" xfId="60" applyNumberFormat="1" applyFont="1" applyBorder="1" applyAlignment="1" applyProtection="1">
      <alignment horizontal="center" vertical="center" wrapText="1"/>
      <protection/>
    </xf>
    <xf numFmtId="0" fontId="0" fillId="0" borderId="34" xfId="60" applyBorder="1" applyAlignment="1" applyProtection="1">
      <alignment horizontal="center" vertical="center"/>
      <protection/>
    </xf>
    <xf numFmtId="0" fontId="0" fillId="0" borderId="56" xfId="60" applyBorder="1" applyAlignment="1" applyProtection="1">
      <alignment horizontal="center" vertical="center"/>
      <protection/>
    </xf>
    <xf numFmtId="175" fontId="26" fillId="0" borderId="61" xfId="60" applyNumberFormat="1" applyFont="1" applyBorder="1" applyAlignment="1" applyProtection="1">
      <alignment horizontal="left" vertical="center" wrapText="1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59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0" fillId="0" borderId="31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>
      <alignment/>
    </xf>
    <xf numFmtId="0" fontId="6" fillId="0" borderId="20" xfId="61" applyFont="1" applyFill="1" applyBorder="1" applyAlignment="1" applyProtection="1">
      <alignment horizontal="center" vertical="center" wrapText="1"/>
      <protection/>
    </xf>
    <xf numFmtId="0" fontId="6" fillId="0" borderId="21" xfId="61" applyFont="1" applyFill="1" applyBorder="1" applyAlignment="1" applyProtection="1">
      <alignment horizontal="center" vertical="center" wrapTex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166" fontId="6" fillId="0" borderId="13" xfId="61" applyNumberFormat="1" applyFont="1" applyFill="1" applyBorder="1" applyAlignment="1" applyProtection="1">
      <alignment horizontal="center" vertical="center"/>
      <protection/>
    </xf>
    <xf numFmtId="166" fontId="6" fillId="0" borderId="45" xfId="61" applyNumberFormat="1" applyFont="1" applyFill="1" applyBorder="1" applyAlignment="1" applyProtection="1">
      <alignment horizontal="center" vertical="center"/>
      <protection/>
    </xf>
    <xf numFmtId="0" fontId="6" fillId="0" borderId="20" xfId="61" applyFont="1" applyFill="1" applyBorder="1" applyAlignment="1" applyProtection="1">
      <alignment horizontal="center" vertical="center" wrapText="1"/>
      <protection locked="0"/>
    </xf>
    <xf numFmtId="0" fontId="6" fillId="0" borderId="21" xfId="61" applyFont="1" applyFill="1" applyBorder="1" applyAlignment="1" applyProtection="1">
      <alignment horizontal="center" vertical="center" wrapText="1"/>
      <protection locked="0"/>
    </xf>
    <xf numFmtId="0" fontId="6" fillId="0" borderId="13" xfId="61" applyFont="1" applyFill="1" applyBorder="1" applyAlignment="1" applyProtection="1">
      <alignment horizontal="center" vertical="center" wrapTex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6" fillId="0" borderId="25" xfId="61" applyFont="1" applyFill="1" applyBorder="1" applyAlignment="1" applyProtection="1">
      <alignment horizontal="center" vertical="center" wrapText="1"/>
      <protection locked="0"/>
    </xf>
    <xf numFmtId="0" fontId="6" fillId="0" borderId="32" xfId="61" applyFont="1" applyFill="1" applyBorder="1" applyAlignment="1" applyProtection="1">
      <alignment horizontal="center" vertical="center" wrapText="1"/>
      <protection locked="0"/>
    </xf>
    <xf numFmtId="166" fontId="6" fillId="0" borderId="13" xfId="61" applyNumberFormat="1" applyFont="1" applyFill="1" applyBorder="1" applyAlignment="1" applyProtection="1">
      <alignment horizontal="center" vertical="center"/>
      <protection locked="0"/>
    </xf>
    <xf numFmtId="166" fontId="6" fillId="0" borderId="45" xfId="6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/>
    </xf>
    <xf numFmtId="166" fontId="6" fillId="0" borderId="38" xfId="0" applyNumberFormat="1" applyFont="1" applyFill="1" applyBorder="1" applyAlignment="1" applyProtection="1">
      <alignment horizontal="center" vertical="center" wrapText="1"/>
      <protection/>
    </xf>
    <xf numFmtId="166" fontId="6" fillId="0" borderId="25" xfId="0" applyNumberFormat="1" applyFont="1" applyFill="1" applyBorder="1" applyAlignment="1" applyProtection="1">
      <alignment horizontal="center" vertical="center" wrapText="1"/>
      <protection/>
    </xf>
    <xf numFmtId="166" fontId="6" fillId="0" borderId="32" xfId="0" applyNumberFormat="1" applyFont="1" applyFill="1" applyBorder="1" applyAlignment="1" applyProtection="1">
      <alignment horizontal="center" vertical="center"/>
      <protection/>
    </xf>
    <xf numFmtId="166" fontId="6" fillId="0" borderId="32" xfId="0" applyNumberFormat="1" applyFont="1" applyFill="1" applyBorder="1" applyAlignment="1" applyProtection="1">
      <alignment horizontal="center" vertical="center" wrapText="1"/>
      <protection/>
    </xf>
    <xf numFmtId="166" fontId="6" fillId="0" borderId="73" xfId="0" applyNumberFormat="1" applyFont="1" applyFill="1" applyBorder="1" applyAlignment="1" applyProtection="1">
      <alignment horizontal="center" vertical="center" wrapText="1"/>
      <protection/>
    </xf>
    <xf numFmtId="166" fontId="6" fillId="0" borderId="79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6" fillId="0" borderId="7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3" xfId="0" applyNumberFormat="1" applyFont="1" applyFill="1" applyBorder="1" applyAlignment="1" applyProtection="1">
      <alignment horizontal="center" vertical="center"/>
      <protection locked="0"/>
    </xf>
    <xf numFmtId="166" fontId="6" fillId="0" borderId="79" xfId="0" applyNumberFormat="1" applyFont="1" applyFill="1" applyBorder="1" applyAlignment="1" applyProtection="1">
      <alignment horizontal="center" vertical="center"/>
      <protection locked="0"/>
    </xf>
    <xf numFmtId="166" fontId="6" fillId="0" borderId="7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2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6" fillId="0" borderId="72" xfId="0" applyFont="1" applyFill="1" applyBorder="1" applyAlignment="1" applyProtection="1">
      <alignment horizontal="left" vertical="center" wrapText="1"/>
      <protection/>
    </xf>
    <xf numFmtId="0" fontId="6" fillId="0" borderId="61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3" fillId="0" borderId="59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72" xfId="0" applyFont="1" applyFill="1" applyBorder="1" applyAlignment="1" applyProtection="1">
      <alignment horizontal="center" vertical="center" wrapText="1"/>
      <protection locked="0"/>
    </xf>
    <xf numFmtId="0" fontId="6" fillId="0" borderId="78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1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3" fillId="0" borderId="61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59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5" fillId="0" borderId="0" xfId="63" applyFont="1" applyFill="1" applyAlignment="1" applyProtection="1">
      <alignment horizontal="left"/>
      <protection/>
    </xf>
    <xf numFmtId="0" fontId="28" fillId="0" borderId="0" xfId="63" applyFont="1" applyFill="1" applyAlignment="1" applyProtection="1">
      <alignment horizontal="right"/>
      <protection locked="0"/>
    </xf>
    <xf numFmtId="0" fontId="30" fillId="0" borderId="0" xfId="63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0" fillId="0" borderId="0" xfId="63" applyFont="1" applyFill="1" applyAlignment="1" applyProtection="1">
      <alignment horizontal="center" vertical="center" wrapText="1"/>
      <protection locked="0"/>
    </xf>
    <xf numFmtId="0" fontId="30" fillId="0" borderId="0" xfId="63" applyFont="1" applyFill="1" applyAlignment="1" applyProtection="1">
      <alignment horizontal="center" vertical="center"/>
      <protection locked="0"/>
    </xf>
    <xf numFmtId="0" fontId="32" fillId="0" borderId="0" xfId="63" applyFont="1" applyFill="1" applyBorder="1" applyAlignment="1" applyProtection="1">
      <alignment horizontal="right"/>
      <protection locked="0"/>
    </xf>
    <xf numFmtId="0" fontId="33" fillId="0" borderId="24" xfId="63" applyFont="1" applyFill="1" applyBorder="1" applyAlignment="1" applyProtection="1">
      <alignment horizontal="center" vertical="center" wrapText="1"/>
      <protection locked="0"/>
    </xf>
    <xf numFmtId="0" fontId="33" fillId="0" borderId="16" xfId="63" applyFont="1" applyFill="1" applyBorder="1" applyAlignment="1" applyProtection="1">
      <alignment horizontal="center" vertical="center" wrapText="1"/>
      <protection locked="0"/>
    </xf>
    <xf numFmtId="0" fontId="33" fillId="0" borderId="18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 textRotation="90"/>
      <protection locked="0"/>
    </xf>
    <xf numFmtId="0" fontId="20" fillId="0" borderId="10" xfId="62" applyFont="1" applyFill="1" applyBorder="1" applyAlignment="1" applyProtection="1">
      <alignment horizontal="center" vertical="center" textRotation="90"/>
      <protection locked="0"/>
    </xf>
    <xf numFmtId="0" fontId="20" fillId="0" borderId="12" xfId="62" applyFont="1" applyFill="1" applyBorder="1" applyAlignment="1" applyProtection="1">
      <alignment horizontal="center" vertical="center" textRotation="90"/>
      <protection locked="0"/>
    </xf>
    <xf numFmtId="0" fontId="32" fillId="0" borderId="13" xfId="63" applyFont="1" applyFill="1" applyBorder="1" applyAlignment="1" applyProtection="1">
      <alignment horizontal="center" vertical="center" wrapText="1"/>
      <protection locked="0"/>
    </xf>
    <xf numFmtId="0" fontId="32" fillId="0" borderId="11" xfId="63" applyFont="1" applyFill="1" applyBorder="1" applyAlignment="1" applyProtection="1">
      <alignment horizontal="center" vertical="center" wrapText="1"/>
      <protection locked="0"/>
    </xf>
    <xf numFmtId="0" fontId="32" fillId="0" borderId="69" xfId="63" applyFont="1" applyFill="1" applyBorder="1" applyAlignment="1" applyProtection="1">
      <alignment horizontal="center" vertical="center" wrapText="1"/>
      <protection locked="0"/>
    </xf>
    <xf numFmtId="0" fontId="32" fillId="0" borderId="68" xfId="63" applyFont="1" applyFill="1" applyBorder="1" applyAlignment="1" applyProtection="1">
      <alignment horizontal="center" vertical="center" wrapText="1"/>
      <protection locked="0"/>
    </xf>
    <xf numFmtId="0" fontId="32" fillId="0" borderId="11" xfId="63" applyFont="1" applyFill="1" applyBorder="1" applyAlignment="1" applyProtection="1">
      <alignment horizontal="center" wrapText="1"/>
      <protection locked="0"/>
    </xf>
    <xf numFmtId="0" fontId="32" fillId="0" borderId="26" xfId="63" applyFont="1" applyFill="1" applyBorder="1" applyAlignment="1" applyProtection="1">
      <alignment horizontal="center" wrapText="1"/>
      <protection locked="0"/>
    </xf>
    <xf numFmtId="0" fontId="25" fillId="0" borderId="0" xfId="63" applyFont="1" applyFill="1" applyAlignment="1" applyProtection="1">
      <alignment horizontal="center"/>
      <protection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right" vertical="center"/>
      <protection locked="0"/>
    </xf>
    <xf numFmtId="0" fontId="5" fillId="0" borderId="20" xfId="62" applyFont="1" applyFill="1" applyBorder="1" applyAlignment="1" applyProtection="1">
      <alignment horizontal="center" vertical="center" wrapText="1"/>
      <protection locked="0"/>
    </xf>
    <xf numFmtId="0" fontId="5" fillId="0" borderId="17" xfId="62" applyFont="1" applyFill="1" applyBorder="1" applyAlignment="1" applyProtection="1">
      <alignment horizontal="center" vertical="center" wrapText="1"/>
      <protection locked="0"/>
    </xf>
    <xf numFmtId="0" fontId="20" fillId="0" borderId="13" xfId="62" applyFont="1" applyFill="1" applyBorder="1" applyAlignment="1" applyProtection="1">
      <alignment horizontal="center" vertical="center" textRotation="90"/>
      <protection locked="0"/>
    </xf>
    <xf numFmtId="0" fontId="20" fillId="0" borderId="11" xfId="62" applyFont="1" applyFill="1" applyBorder="1" applyAlignment="1" applyProtection="1">
      <alignment horizontal="center" vertical="center" textRotation="90"/>
      <protection locked="0"/>
    </xf>
    <xf numFmtId="0" fontId="4" fillId="0" borderId="45" xfId="62" applyFont="1" applyFill="1" applyBorder="1" applyAlignment="1" applyProtection="1">
      <alignment horizontal="center" vertical="center" wrapText="1"/>
      <protection locked="0"/>
    </xf>
    <xf numFmtId="0" fontId="4" fillId="0" borderId="26" xfId="62" applyFont="1" applyFill="1" applyBorder="1" applyAlignment="1" applyProtection="1">
      <alignment horizontal="center" vertical="center"/>
      <protection locked="0"/>
    </xf>
    <xf numFmtId="0" fontId="30" fillId="0" borderId="0" xfId="63" applyFont="1" applyFill="1" applyAlignment="1">
      <alignment horizontal="center" vertical="center" wrapText="1"/>
      <protection/>
    </xf>
    <xf numFmtId="0" fontId="30" fillId="0" borderId="0" xfId="63" applyFont="1" applyFill="1" applyAlignment="1">
      <alignment horizontal="center" vertical="center"/>
      <protection/>
    </xf>
    <xf numFmtId="0" fontId="15" fillId="0" borderId="59" xfId="63" applyFont="1" applyFill="1" applyBorder="1" applyAlignment="1">
      <alignment horizontal="left"/>
      <protection/>
    </xf>
    <xf numFmtId="0" fontId="15" fillId="0" borderId="33" xfId="63" applyFont="1" applyFill="1" applyBorder="1" applyAlignment="1">
      <alignment horizontal="left"/>
      <protection/>
    </xf>
    <xf numFmtId="3" fontId="25" fillId="0" borderId="0" xfId="63" applyNumberFormat="1" applyFont="1" applyFill="1" applyAlignment="1">
      <alignment horizontal="center"/>
      <protection/>
    </xf>
    <xf numFmtId="0" fontId="28" fillId="0" borderId="0" xfId="63" applyFont="1" applyFill="1" applyAlignment="1">
      <alignment horizontal="right"/>
      <protection/>
    </xf>
    <xf numFmtId="0" fontId="30" fillId="0" borderId="0" xfId="63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39" fillId="0" borderId="22" xfId="0" applyFont="1" applyBorder="1" applyAlignment="1" applyProtection="1">
      <alignment wrapText="1"/>
      <protection/>
    </xf>
    <xf numFmtId="0" fontId="39" fillId="0" borderId="23" xfId="0" applyFont="1" applyBorder="1" applyAlignment="1" applyProtection="1">
      <alignment wrapText="1"/>
      <protection/>
    </xf>
    <xf numFmtId="0" fontId="39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5">
    <dxf>
      <font>
        <color indexed="10"/>
      </font>
    </dxf>
    <dxf>
      <font>
        <color indexed="1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1</xdr:row>
      <xdr:rowOff>104775</xdr:rowOff>
    </xdr:from>
    <xdr:to>
      <xdr:col>22</xdr:col>
      <xdr:colOff>342900</xdr:colOff>
      <xdr:row>16</xdr:row>
      <xdr:rowOff>133350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277475" y="266700"/>
          <a:ext cx="6315075" cy="270510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1513"/>
              <a:gd name="adj2" fmla="val 9032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8798" y="661138"/>
            <a:ext cx="817177" cy="269752"/>
          </a:xfrm>
          <a:prstGeom prst="leftArrow">
            <a:avLst>
              <a:gd name="adj" fmla="val -33486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17</xdr:row>
      <xdr:rowOff>28575</xdr:rowOff>
    </xdr:from>
    <xdr:to>
      <xdr:col>22</xdr:col>
      <xdr:colOff>342900</xdr:colOff>
      <xdr:row>23</xdr:row>
      <xdr:rowOff>161925</xdr:rowOff>
    </xdr:to>
    <xdr:sp>
      <xdr:nvSpPr>
        <xdr:cNvPr id="5" name="Téglalap 5"/>
        <xdr:cNvSpPr>
          <a:spLocks/>
        </xdr:cNvSpPr>
      </xdr:nvSpPr>
      <xdr:spPr>
        <a:xfrm>
          <a:off x="10277475" y="3048000"/>
          <a:ext cx="6315075" cy="1219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Z_1.1.sz.mell.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Z_1.1.sz.mell.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120" zoomScaleNormal="120" zoomScalePageLayoutView="0" workbookViewId="0" topLeftCell="A1">
      <selection activeCell="A14" sqref="A14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1" ht="12.75">
      <c r="A1" s="720">
        <v>2020</v>
      </c>
    </row>
    <row r="2" spans="1:3" ht="18.75">
      <c r="A2" s="798" t="s">
        <v>778</v>
      </c>
      <c r="B2" s="798"/>
      <c r="C2" s="798"/>
    </row>
    <row r="3" spans="1:3" ht="15">
      <c r="A3" s="648"/>
      <c r="B3" s="649"/>
      <c r="C3" s="648"/>
    </row>
    <row r="4" spans="1:3" ht="14.25">
      <c r="A4" s="650" t="s">
        <v>779</v>
      </c>
      <c r="B4" s="651" t="s">
        <v>780</v>
      </c>
      <c r="C4" s="650" t="s">
        <v>781</v>
      </c>
    </row>
    <row r="5" spans="1:3" ht="12.75">
      <c r="A5" s="652"/>
      <c r="B5" s="652"/>
      <c r="C5" s="652"/>
    </row>
    <row r="6" spans="1:3" ht="18.75">
      <c r="A6" s="799" t="s">
        <v>811</v>
      </c>
      <c r="B6" s="799"/>
      <c r="C6" s="799"/>
    </row>
    <row r="7" spans="1:3" ht="12.75">
      <c r="A7" s="652" t="s">
        <v>782</v>
      </c>
      <c r="B7" s="652" t="s">
        <v>783</v>
      </c>
      <c r="C7" s="653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652" t="s">
        <v>784</v>
      </c>
      <c r="B8" s="652" t="s">
        <v>819</v>
      </c>
      <c r="C8" s="653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652" t="s">
        <v>972</v>
      </c>
      <c r="B9" s="652" t="str">
        <f>CONCATENATE(LOWER('1 '!A3))</f>
        <v>2020. évi zárszámadásának pénzügyi mérlege</v>
      </c>
      <c r="C9" s="653" t="str">
        <f ca="1">HYPERLINK(SUBSTITUTE(CELL("address",'1 '!A1),"'",""),SUBSTITUTE(MID(CELL("address",'1 '!A1),SEARCH("]",CELL("address",'1 '!A1),1)+1,LEN(CELL("address",'1 '!A1))-SEARCH("]",CELL("address",'1 '!A1),1)),"'",""))</f>
        <v>1 !$A$1</v>
      </c>
    </row>
    <row r="10" spans="1:3" ht="12.75">
      <c r="A10" s="652" t="s">
        <v>973</v>
      </c>
      <c r="B10" s="652" t="str">
        <f>2!A3</f>
        <v>2020. ÉVI ZÁRSZÁMADÁS</v>
      </c>
      <c r="C10" s="653" t="str">
        <f ca="1">HYPERLINK(SUBSTITUTE(CELL("address",2!A1),"'",""),SUBSTITUTE(MID(CELL("address",2!A1),SEARCH("]",CELL("address",2!A1),1)+1,LEN(CELL("address",2!A1))-SEARCH("]",CELL("address",2!A1),1)),"'",""))</f>
        <v>2!$A$1</v>
      </c>
    </row>
    <row r="11" spans="1:3" ht="12.75">
      <c r="A11" s="652" t="s">
        <v>785</v>
      </c>
      <c r="B11" s="652" t="str">
        <f>3!A3</f>
        <v>2020. ÉVI ZÁRSZÁMADÁS</v>
      </c>
      <c r="C11" s="653" t="str">
        <f ca="1">HYPERLINK(SUBSTITUTE(CELL("address",3!A1),"'",""),SUBSTITUTE(MID(CELL("address",3!A1),SEARCH("]",CELL("address",3!A1),1)+1,LEN(CELL("address",3!A1))-SEARCH("]",CELL("address",3!A1),1)),"'",""))</f>
        <v>3!$A$1</v>
      </c>
    </row>
    <row r="12" spans="1:3" ht="12.75">
      <c r="A12" s="652" t="s">
        <v>786</v>
      </c>
      <c r="B12" s="652" t="str">
        <f>4!A3</f>
        <v>2020. ÉVI ZÁRSZÁMADÁS</v>
      </c>
      <c r="C12" s="653" t="str">
        <f ca="1">HYPERLINK(SUBSTITUTE(CELL("address",4!A1),"'",""),SUBSTITUTE(MID(CELL("address",4!A1),SEARCH("]",CELL("address",4!A1),1)+1,LEN(CELL("address",4!A1))-SEARCH("]",CELL("address",4!A1),1)),"'",""))</f>
        <v>4!$A$1</v>
      </c>
    </row>
    <row r="13" spans="1:3" ht="12.75">
      <c r="A13" s="652" t="s">
        <v>513</v>
      </c>
      <c r="B13" s="652" t="s">
        <v>787</v>
      </c>
      <c r="C13" s="653" t="str">
        <f ca="1">HYPERLINK(SUBSTITUTE(CELL("address",5!A1),"'",""),SUBSTITUTE(MID(CELL("address",5!A1),SEARCH("]",CELL("address",5!A1),1)+1,LEN(CELL("address",5!A1))-SEARCH("]",CELL("address",5!A1),1)),"'",""))</f>
        <v>5!$A$1</v>
      </c>
    </row>
    <row r="14" spans="1:3" ht="12.75">
      <c r="A14" s="652" t="s">
        <v>425</v>
      </c>
      <c r="B14" s="652" t="s">
        <v>788</v>
      </c>
      <c r="C14" s="653" t="str">
        <f ca="1">HYPERLINK(SUBSTITUTE(CELL("address",6!A1),"'",""),SUBSTITUTE(MID(CELL("address",6!A1),SEARCH("]",CELL("address",6!A1),1)+1,LEN(CELL("address",6!A1))-SEARCH("]",CELL("address",6!A1),1)),"'",""))</f>
        <v>6!$A$1</v>
      </c>
    </row>
    <row r="15" spans="1:3" ht="12.75">
      <c r="A15" s="652" t="s">
        <v>789</v>
      </c>
      <c r="B15" s="652" t="s">
        <v>790</v>
      </c>
      <c r="C15" s="653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652" t="s">
        <v>791</v>
      </c>
      <c r="B16" s="652" t="s">
        <v>792</v>
      </c>
      <c r="C16" s="653" t="str">
        <f ca="1">HYPERLINK(SUBSTITUTE(CELL("address",7!A1),"'",""),SUBSTITUTE(MID(CELL("address",7!A1),SEARCH("]",CELL("address",7!A1),1)+1,LEN(CELL("address",7!A1))-SEARCH("]",CELL("address",7!A1),1)),"'",""))</f>
        <v>7!$A$1</v>
      </c>
    </row>
    <row r="17" spans="1:3" ht="12.75">
      <c r="A17" s="652" t="s">
        <v>793</v>
      </c>
      <c r="B17" s="652" t="s">
        <v>794</v>
      </c>
      <c r="C17" s="653" t="str">
        <f ca="1">HYPERLINK(SUBSTITUTE(CELL("address",8!A1),"'",""),SUBSTITUTE(MID(CELL("address",8!A1),SEARCH("]",CELL("address",8!A1),1)+1,LEN(CELL("address",8!A1))-SEARCH("]",CELL("address",8!A1),1)),"'",""))</f>
        <v>8!$A$1</v>
      </c>
    </row>
    <row r="18" spans="1:3" ht="12.75">
      <c r="A18" s="652" t="s">
        <v>795</v>
      </c>
      <c r="B18" s="652" t="str">
        <f>9!A9</f>
        <v>Európai uniós támogatással megvalósuló projektek</v>
      </c>
      <c r="C18" s="653" t="str">
        <f ca="1">HYPERLINK(SUBSTITUTE(CELL("address",9!A1),"'",""),SUBSTITUTE(MID(CELL("address",9!A1),SEARCH("]",CELL("address",9!A1),1)+1,LEN(CELL("address",9!A1))-SEARCH("]",CELL("address",9!A1),1)),"'",""))</f>
        <v>9!$A$1</v>
      </c>
    </row>
    <row r="19" spans="1:3" ht="12.75">
      <c r="A19" s="652" t="s">
        <v>520</v>
      </c>
      <c r="B19" s="652" t="s">
        <v>796</v>
      </c>
      <c r="C19" s="653" t="str">
        <f ca="1">HYPERLINK(SUBSTITUTE(CELL("address",'10'!A1),"'",""),SUBSTITUTE(MID(CELL("address",'10'!A1),SEARCH("]",CELL("address",'10'!A1),1)+1,LEN(CELL("address",'10'!A1))-SEARCH("]",CELL("address",'10'!A1),1)),"'",""))</f>
        <v>10!$A$1</v>
      </c>
    </row>
    <row r="20" spans="1:3" ht="12.75">
      <c r="A20" s="652" t="s">
        <v>452</v>
      </c>
      <c r="B20" s="652" t="s">
        <v>797</v>
      </c>
      <c r="C20" s="653" t="str">
        <f ca="1">HYPERLINK(SUBSTITUTE(CELL("address",'11'!A1),"'",""),SUBSTITUTE(MID(CELL("address",'11'!A1),SEARCH("]",CELL("address",'11'!A1),1)+1,LEN(CELL("address",'11'!A1))-SEARCH("]",CELL("address",'11'!A1),1)),"'",""))</f>
        <v>11!$A$1</v>
      </c>
    </row>
    <row r="21" spans="1:3" ht="12.75">
      <c r="A21" s="652" t="s">
        <v>453</v>
      </c>
      <c r="B21" s="652" t="s">
        <v>324</v>
      </c>
      <c r="C21" s="653" t="str">
        <f ca="1">HYPERLINK(SUBSTITUTE(CELL("address",'12'!A1),"'",""),SUBSTITUTE(MID(CELL("address",'12'!A1),SEARCH("]",CELL("address",'12'!A1),1)+1,LEN(CELL("address",'12'!A1))-SEARCH("]",CELL("address",'12'!A1),1)),"'",""))</f>
        <v>12!$A$1</v>
      </c>
    </row>
    <row r="22" spans="1:3" ht="12.75">
      <c r="A22" s="652" t="s">
        <v>798</v>
      </c>
      <c r="B22" s="652" t="s">
        <v>799</v>
      </c>
      <c r="C22" s="653" t="str">
        <f ca="1">HYPERLINK(SUBSTITUTE(CELL("address",'13'!A1),"'",""),SUBSTITUTE(MID(CELL("address",'13'!A1),SEARCH("]",CELL("address",'13'!A1),1)+1,LEN(CELL("address",'13'!A1))-SEARCH("]",CELL("address",'13'!A1),1)),"'",""))</f>
        <v>13!$A$1</v>
      </c>
    </row>
    <row r="23" spans="1:3" ht="12.75">
      <c r="A23" s="652" t="s">
        <v>800</v>
      </c>
      <c r="B23" s="652" t="str">
        <f>Z_ALAPADATOK!A11</f>
        <v>BEKECSI Közös Önkormányzati Hivatal</v>
      </c>
      <c r="C23" s="653" t="str">
        <f ca="1">HYPERLINK(SUBSTITUTE(CELL("address",'14'!A1),"'",""),SUBSTITUTE(MID(CELL("address",'14'!A1),SEARCH("]",CELL("address",'14'!A1),1)+1,LEN(CELL("address",'14'!A1))-SEARCH("]",CELL("address",'14'!A1),1)),"'",""))</f>
        <v>14!$A$1</v>
      </c>
    </row>
    <row r="24" spans="1:3" ht="12.75">
      <c r="A24" s="652" t="s">
        <v>801</v>
      </c>
      <c r="B24" t="str">
        <f>Z_ALAPADATOK!B13</f>
        <v>BEKECSI ÁMK</v>
      </c>
      <c r="C24" s="653" t="str">
        <f ca="1">HYPERLINK(SUBSTITUTE(CELL("address",'18'!A1),"'",""),SUBSTITUTE(MID(CELL("address",'18'!A1),SEARCH("]",CELL("address",'18'!A1),1)+1,LEN(CELL("address",'18'!A1))-SEARCH("]",CELL("address",'18'!A1),1)),"'",""))</f>
        <v>18!$A$1</v>
      </c>
    </row>
    <row r="25" spans="1:3" ht="12.75">
      <c r="A25" s="652" t="s">
        <v>802</v>
      </c>
      <c r="B25" t="str">
        <f>Z_ALAPADATOK!B15</f>
        <v>2 kvi név</v>
      </c>
      <c r="C25" s="65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652" t="s">
        <v>803</v>
      </c>
      <c r="B26" t="str">
        <f>Z_ALAPADATOK!B17</f>
        <v>3 kvi név</v>
      </c>
      <c r="C26" s="65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652" t="s">
        <v>804</v>
      </c>
      <c r="B27" t="str">
        <f>Z_ALAPADATOK!B19</f>
        <v>4 kvi név</v>
      </c>
      <c r="C27" s="65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652" t="s">
        <v>805</v>
      </c>
      <c r="B28" t="str">
        <f>Z_ALAPADATOK!B21</f>
        <v>5 kvi név</v>
      </c>
      <c r="C28" s="65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652" t="s">
        <v>806</v>
      </c>
      <c r="B29" t="str">
        <f>Z_ALAPADATOK!B23</f>
        <v>6 kvi név</v>
      </c>
      <c r="C29" s="65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652" t="s">
        <v>807</v>
      </c>
      <c r="B30" t="str">
        <f>Z_ALAPADATOK!B25</f>
        <v>7 kvi név</v>
      </c>
      <c r="C30" s="65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652" t="s">
        <v>808</v>
      </c>
      <c r="B31" t="str">
        <f>Z_ALAPADATOK!B27</f>
        <v>8 kvi név</v>
      </c>
      <c r="C31" s="65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652" t="s">
        <v>809</v>
      </c>
      <c r="B32" t="str">
        <f>Z_ALAPADATOK!B29</f>
        <v>9 kvi név</v>
      </c>
      <c r="C32" s="65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652" t="s">
        <v>810</v>
      </c>
      <c r="B33" t="str">
        <f>Z_ALAPADATOK!B31</f>
        <v>10 kvi név</v>
      </c>
      <c r="C33" s="65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652" t="s">
        <v>835</v>
      </c>
      <c r="B34" t="str">
        <f>PROPER('22'!A3)</f>
        <v>Költségvetési Szervek Maradványának Alakulása</v>
      </c>
      <c r="C34" s="653" t="str">
        <f ca="1">HYPERLINK(SUBSTITUTE(CELL("address",'22'!A1),"'",""),SUBSTITUTE(MID(CELL("address",'22'!A1),SEARCH("]",CELL("address",'22'!A1),1)+1,LEN(CELL("address",'22'!A1))-SEARCH("]",CELL("address",'22'!A1),1)),"'",""))</f>
        <v>22!$A$1</v>
      </c>
    </row>
    <row r="35" spans="1:3" ht="12.75">
      <c r="A35" s="652" t="s">
        <v>836</v>
      </c>
      <c r="B35" t="str">
        <f>'23'!B1</f>
        <v>2020. évi általános működés és ágazati feladatok támogatásának alakulása jogcímenként</v>
      </c>
      <c r="C35" s="653" t="str">
        <f ca="1">HYPERLINK(SUBSTITUTE(CELL("address",'23'!A1),"'",""),SUBSTITUTE(MID(CELL("address",'23'!A1),SEARCH("]",CELL("address",'23'!A1),1)+1,LEN(CELL("address",'23'!A1))-SEARCH("]",CELL("address",'23'!A1),1)),"'",""))</f>
        <v>23!$A$1</v>
      </c>
    </row>
    <row r="36" spans="1:3" ht="12.75">
      <c r="A36" s="652" t="s">
        <v>759</v>
      </c>
      <c r="B36" t="str">
        <f>CONCATENATE(PROPER('24'!A2)," ",LOWER('24'!A3))</f>
        <v>Bekecs Község Önkormányzata 2020. évi zárszámadásának pénzügyi mérlege</v>
      </c>
      <c r="C36" s="653" t="str">
        <f ca="1">HYPERLINK(SUBSTITUTE(CELL("address",'24'!A1),"'",""),SUBSTITUTE(MID(CELL("address",'24'!A1),SEARCH("]",CELL("address",'24'!A1),1)+1,LEN(CELL("address",'24'!A1))-SEARCH("]",CELL("address",'24'!A1),1)),"'",""))</f>
        <v>24!$A$1</v>
      </c>
    </row>
    <row r="37" spans="1:3" ht="12.75">
      <c r="A37" s="652" t="s">
        <v>761</v>
      </c>
      <c r="B37" t="str">
        <f>'25'!A1</f>
        <v>Többéves kihatással járó döntésekből származó kötzelezettségek célok szerinti, évenkénti bontásban</v>
      </c>
      <c r="C37" s="653" t="str">
        <f ca="1">HYPERLINK(SUBSTITUTE(CELL("address",'25'!A2),"'",""),SUBSTITUTE(MID(CELL("address",'25'!A2),SEARCH("]",CELL("address",'25'!A2),1)+1,LEN(CELL("address",'25'!A2))-SEARCH("]",CELL("address",'25'!A2),1)),"'",""))</f>
        <v>25!$A$2</v>
      </c>
    </row>
    <row r="38" spans="1:3" ht="12.75">
      <c r="A38" s="652" t="s">
        <v>762</v>
      </c>
      <c r="B38" t="str">
        <f>'26'!A1</f>
        <v>Az önkormányzat által nyújtott hitel és kölcsön alakulása lejárat és eszközök szerinti bontásban</v>
      </c>
      <c r="C38" s="653" t="str">
        <f ca="1">HYPERLINK(SUBSTITUTE(CELL("address",'26'!A1),"'",""),SUBSTITUTE(MID(CELL("address",'26'!A1),SEARCH("]",CELL("address",'26'!A1),1)+1,LEN(CELL("address",'26'!A1))-SEARCH("]",CELL("address",'26'!A1),1)),"'",""))</f>
        <v>26!$A$1</v>
      </c>
    </row>
    <row r="39" spans="1:3" ht="12.75">
      <c r="A39" s="652" t="s">
        <v>763</v>
      </c>
      <c r="B39" t="str">
        <f>'27'!A1</f>
        <v>Adósság állomány alakulása lejárat, eszközök, bel- és külföldi hitelezők szerinti bontásban
2020. december 31-én</v>
      </c>
      <c r="C39" s="653" t="str">
        <f ca="1">HYPERLINK(SUBSTITUTE(CELL("address",'27'!A1),"'",""),SUBSTITUTE(MID(CELL("address",'27'!A1),SEARCH("]",CELL("address",'27'!A1),1)+1,LEN(CELL("address",'27'!A1))-SEARCH("]",CELL("address",'27'!A1),1)),"'",""))</f>
        <v>27!$A$1</v>
      </c>
    </row>
    <row r="40" spans="1:3" ht="12.75">
      <c r="A40" s="652" t="s">
        <v>764</v>
      </c>
      <c r="B40" t="str">
        <f>'28'!A3</f>
        <v>Az önkormányzat által adott közvetett támogatások</v>
      </c>
      <c r="C40" s="653" t="str">
        <f ca="1">HYPERLINK(SUBSTITUTE(CELL("address",'28'!A1),"'",""),SUBSTITUTE(MID(CELL("address",'28'!A1),SEARCH("]",CELL("address",'28'!A1),1)+1,LEN(CELL("address",'28'!A1))-SEARCH("]",CELL("address",'28'!A1),1)),"'",""))</f>
        <v>28!$A$1</v>
      </c>
    </row>
    <row r="41" spans="1:3" ht="12.75">
      <c r="A41" s="652" t="s">
        <v>768</v>
      </c>
      <c r="B41" t="str">
        <f>CONCATENATE(PROPER('29'!A3)," ",LOWER('29'!A4))</f>
        <v>K I M U T A T Á S a 2020. évi céljelleggel juttatott támogatások felhasználásáról</v>
      </c>
      <c r="C41" s="653" t="str">
        <f ca="1">HYPERLINK(SUBSTITUTE(CELL("address",'29'!A1),"'",""),SUBSTITUTE(MID(CELL("address",'29'!A1),SEARCH("]",CELL("address",'29'!A1),1)+1,LEN(CELL("address",'29'!A1))-SEARCH("]",CELL("address",'29'!A1),1)),"'",""))</f>
        <v>29!$A$1</v>
      </c>
    </row>
    <row r="42" spans="1:3" ht="12.75">
      <c r="A42" s="652" t="s">
        <v>770</v>
      </c>
      <c r="B42" t="str">
        <f>CONCATENATE(PROPER('30'!A2)," ",'30'!A3)</f>
        <v>Vagyonkimutatás a könyvviteli mérlegben értékkel szerplő eszközökről</v>
      </c>
      <c r="C42" s="653" t="str">
        <f ca="1">HYPERLINK(SUBSTITUTE(CELL("address",'30'!A1),"'",""),SUBSTITUTE(MID(CELL("address",'30'!A1),SEARCH("]",CELL("address",'30'!A1),1)+1,LEN(CELL("address",'30'!A1))-SEARCH("]",CELL("address",'30'!A1),1)),"'",""))</f>
        <v>30!$A$1</v>
      </c>
    </row>
    <row r="43" spans="1:3" ht="12.75">
      <c r="A43" s="652" t="s">
        <v>773</v>
      </c>
      <c r="B43" t="str">
        <f>CONCATENATE(PROPER('31'!A3)," ",'31'!A4)</f>
        <v>Vagyonkimutatás a könyvviteli mérlegben értékkel szereplő forrásokról</v>
      </c>
      <c r="C43" s="653" t="str">
        <f ca="1">HYPERLINK(SUBSTITUTE(CELL("address",'31'!A1),"'",""),SUBSTITUTE(MID(CELL("address",'31'!A1),SEARCH("]",CELL("address",'31'!A1),1)+1,LEN(CELL("address",'31'!A1))-SEARCH("]",CELL("address",'31'!A1),1)),"'",""))</f>
        <v>31!$A$1</v>
      </c>
    </row>
    <row r="44" spans="1:3" ht="12.75">
      <c r="A44" s="652" t="s">
        <v>774</v>
      </c>
      <c r="B44" t="str">
        <f>CONCATENATE(PROPER('32'!A3)," ",'32'!A4)</f>
        <v>Vagyonkimutatás az érték nélkül nyilvántartott eszkzözkről</v>
      </c>
      <c r="C44" s="653" t="str">
        <f ca="1">HYPERLINK(SUBSTITUTE(CELL("address",'32'!A1),"'",""),SUBSTITUTE(MID(CELL("address",'32'!A1),SEARCH("]",CELL("address",'32'!A1),1)+1,LEN(CELL("address",'32'!A1))-SEARCH("]",CELL("address",'32'!A1),1)),"'",""))</f>
        <v>32!$A$1</v>
      </c>
    </row>
    <row r="45" spans="1:3" ht="12.75">
      <c r="A45" s="652" t="s">
        <v>776</v>
      </c>
      <c r="B45" t="str">
        <f>CONCATENATE('33'!A2,'33'!A3)</f>
        <v>Bekecs Község Önkormányzata tulajdonában álló gazdálkodó szervezetek működéséből származókötelezettségek és részesedések alakulása 2020. évben</v>
      </c>
      <c r="C45" s="653" t="str">
        <f ca="1">HYPERLINK(SUBSTITUTE(CELL("address",'33'!A1),"'",""),SUBSTITUTE(MID(CELL("address",'33'!A1),SEARCH("]",CELL("address",'33'!A1),1)+1,LEN(CELL("address",'33'!A1))-SEARCH("]",CELL("address",'33'!A1),1)),"'",""))</f>
        <v>33!$A$1</v>
      </c>
    </row>
    <row r="46" spans="1:3" ht="12.75">
      <c r="A46" s="652" t="s">
        <v>777</v>
      </c>
      <c r="B46" t="s">
        <v>812</v>
      </c>
      <c r="C46" s="653" t="e">
        <f ca="1">HYPERLINK(SUBSTITUTE(CELL("address",'34'!#REF!),"'",""),SUBSTITUTE(MID(CELL("address",'34'!#REF!),SEARCH("]",CELL("address",'34'!#REF!),1)+1,LEN(CELL("address",'34'!#REF!))-SEARCH("]",CELL("address",'34'!#REF!),1)),"'",""))</f>
        <v>#REF!</v>
      </c>
    </row>
  </sheetData>
  <sheetProtection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28">
      <selection activeCell="G16" sqref="G1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3" t="s">
        <v>516</v>
      </c>
      <c r="B1" s="79"/>
      <c r="C1" s="79"/>
      <c r="D1" s="79"/>
      <c r="E1" s="274" t="s">
        <v>103</v>
      </c>
    </row>
    <row r="2" spans="1:5" ht="12.75">
      <c r="A2" s="79"/>
      <c r="B2" s="79"/>
      <c r="C2" s="79"/>
      <c r="D2" s="79"/>
      <c r="E2" s="79"/>
    </row>
    <row r="3" spans="1:5" ht="12.75">
      <c r="A3" s="275"/>
      <c r="B3" s="276"/>
      <c r="C3" s="275"/>
      <c r="D3" s="277"/>
      <c r="E3" s="276"/>
    </row>
    <row r="4" spans="1:5" ht="15.75">
      <c r="A4" s="81" t="str">
        <f>+Z_ÖSSZEFÜGGÉSEK!A6</f>
        <v>2020. évi eredeti előirányzat BEVÉTELEK</v>
      </c>
      <c r="B4" s="278"/>
      <c r="C4" s="279"/>
      <c r="D4" s="277"/>
      <c r="E4" s="276"/>
    </row>
    <row r="5" spans="1:5" ht="12.75">
      <c r="A5" s="275"/>
      <c r="B5" s="276"/>
      <c r="C5" s="275"/>
      <c r="D5" s="277"/>
      <c r="E5" s="276"/>
    </row>
    <row r="6" spans="1:5" ht="12.75">
      <c r="A6" s="275" t="s">
        <v>457</v>
      </c>
      <c r="B6" s="276">
        <f>+'1 '!C68</f>
        <v>391695385</v>
      </c>
      <c r="C6" s="275" t="s">
        <v>426</v>
      </c>
      <c r="D6" s="277">
        <f>+5!C18+6!C17</f>
        <v>391695385</v>
      </c>
      <c r="E6" s="276">
        <f>+B6-D6</f>
        <v>0</v>
      </c>
    </row>
    <row r="7" spans="1:5" ht="12.75">
      <c r="A7" s="275" t="s">
        <v>473</v>
      </c>
      <c r="B7" s="276">
        <f>+'1 '!C92</f>
        <v>230959964</v>
      </c>
      <c r="C7" s="275" t="s">
        <v>432</v>
      </c>
      <c r="D7" s="277">
        <f>+5!C29+6!C30</f>
        <v>230959964</v>
      </c>
      <c r="E7" s="276">
        <f>+B7-D7</f>
        <v>0</v>
      </c>
    </row>
    <row r="8" spans="1:5" ht="12.75">
      <c r="A8" s="275" t="s">
        <v>474</v>
      </c>
      <c r="B8" s="276">
        <f>+'1 '!C93</f>
        <v>622655349</v>
      </c>
      <c r="C8" s="275" t="s">
        <v>433</v>
      </c>
      <c r="D8" s="277">
        <f>+5!C30+6!C31</f>
        <v>622655349</v>
      </c>
      <c r="E8" s="276">
        <f>+B8-D8</f>
        <v>0</v>
      </c>
    </row>
    <row r="9" spans="1:5" ht="12.75">
      <c r="A9" s="275"/>
      <c r="B9" s="276"/>
      <c r="C9" s="275"/>
      <c r="D9" s="277"/>
      <c r="E9" s="276"/>
    </row>
    <row r="10" spans="1:5" ht="15.75">
      <c r="A10" s="81" t="str">
        <f>+Z_ÖSSZEFÜGGÉSEK!A13</f>
        <v>2020. évi módosított előirányzat BEVÉTELEK</v>
      </c>
      <c r="B10" s="278"/>
      <c r="C10" s="279"/>
      <c r="D10" s="277"/>
      <c r="E10" s="276"/>
    </row>
    <row r="11" spans="1:5" ht="12.75">
      <c r="A11" s="275"/>
      <c r="B11" s="276"/>
      <c r="C11" s="275"/>
      <c r="D11" s="277"/>
      <c r="E11" s="276"/>
    </row>
    <row r="12" spans="1:5" ht="12.75">
      <c r="A12" s="275" t="s">
        <v>458</v>
      </c>
      <c r="B12" s="276">
        <f>+'1 '!D68</f>
        <v>430571376</v>
      </c>
      <c r="C12" s="275" t="s">
        <v>427</v>
      </c>
      <c r="D12" s="277">
        <f>+5!D18+6!D17</f>
        <v>430571376</v>
      </c>
      <c r="E12" s="276">
        <f>+B12-D12</f>
        <v>0</v>
      </c>
    </row>
    <row r="13" spans="1:5" ht="12.75">
      <c r="A13" s="275" t="s">
        <v>459</v>
      </c>
      <c r="B13" s="276">
        <f>+'1 '!D92</f>
        <v>222819433</v>
      </c>
      <c r="C13" s="275" t="s">
        <v>434</v>
      </c>
      <c r="D13" s="277">
        <f>+5!D29+6!D30</f>
        <v>222819433</v>
      </c>
      <c r="E13" s="276">
        <f>+B13-D13</f>
        <v>0</v>
      </c>
    </row>
    <row r="14" spans="1:5" ht="12.75">
      <c r="A14" s="275" t="s">
        <v>460</v>
      </c>
      <c r="B14" s="276">
        <f>+'1 '!D93</f>
        <v>653390809</v>
      </c>
      <c r="C14" s="275" t="s">
        <v>435</v>
      </c>
      <c r="D14" s="277">
        <f>+5!D30+6!D31</f>
        <v>653390809</v>
      </c>
      <c r="E14" s="276">
        <f>+B14-D14</f>
        <v>0</v>
      </c>
    </row>
    <row r="15" spans="1:5" ht="12.75">
      <c r="A15" s="275"/>
      <c r="B15" s="276"/>
      <c r="C15" s="275"/>
      <c r="D15" s="277"/>
      <c r="E15" s="276"/>
    </row>
    <row r="16" spans="1:5" ht="14.25">
      <c r="A16" s="280" t="str">
        <f>+Z_ÖSSZEFÜGGÉSEK!A19</f>
        <v>2020.évi teljesített BEVÉTELEK</v>
      </c>
      <c r="B16" s="80"/>
      <c r="C16" s="279"/>
      <c r="D16" s="277"/>
      <c r="E16" s="276"/>
    </row>
    <row r="17" spans="1:5" ht="12.75">
      <c r="A17" s="275"/>
      <c r="B17" s="276"/>
      <c r="C17" s="275"/>
      <c r="D17" s="277"/>
      <c r="E17" s="276"/>
    </row>
    <row r="18" spans="1:5" ht="12.75">
      <c r="A18" s="275" t="s">
        <v>461</v>
      </c>
      <c r="B18" s="276">
        <f>+'1 '!E68</f>
        <v>440287173</v>
      </c>
      <c r="C18" s="275" t="s">
        <v>428</v>
      </c>
      <c r="D18" s="277">
        <f>+5!E18+6!E17</f>
        <v>440287173</v>
      </c>
      <c r="E18" s="276">
        <f>+B18-D18</f>
        <v>0</v>
      </c>
    </row>
    <row r="19" spans="1:5" ht="12.75">
      <c r="A19" s="275" t="s">
        <v>462</v>
      </c>
      <c r="B19" s="276">
        <f>+'1 '!E92</f>
        <v>230124185</v>
      </c>
      <c r="C19" s="275" t="s">
        <v>436</v>
      </c>
      <c r="D19" s="277">
        <f>+5!E29+6!E30</f>
        <v>230124185</v>
      </c>
      <c r="E19" s="276">
        <f>+B19-D19</f>
        <v>0</v>
      </c>
    </row>
    <row r="20" spans="1:5" ht="12.75">
      <c r="A20" s="275" t="s">
        <v>463</v>
      </c>
      <c r="B20" s="276">
        <f>+'1 '!E93</f>
        <v>670411358</v>
      </c>
      <c r="C20" s="275" t="s">
        <v>437</v>
      </c>
      <c r="D20" s="277">
        <f>+5!E30+6!E31</f>
        <v>670411358</v>
      </c>
      <c r="E20" s="276">
        <f>+B20-D20</f>
        <v>0</v>
      </c>
    </row>
    <row r="21" spans="1:5" ht="12.75">
      <c r="A21" s="275"/>
      <c r="B21" s="276"/>
      <c r="C21" s="275"/>
      <c r="D21" s="277"/>
      <c r="E21" s="276"/>
    </row>
    <row r="22" spans="1:5" ht="15.75">
      <c r="A22" s="81" t="str">
        <f>+Z_ÖSSZEFÜGGÉSEK!A25</f>
        <v>2020. évi eredeti előirányzat KIADÁSOK</v>
      </c>
      <c r="B22" s="278"/>
      <c r="C22" s="279"/>
      <c r="D22" s="277"/>
      <c r="E22" s="276"/>
    </row>
    <row r="23" spans="1:5" ht="12.75">
      <c r="A23" s="275"/>
      <c r="B23" s="276"/>
      <c r="C23" s="275"/>
      <c r="D23" s="277"/>
      <c r="E23" s="276"/>
    </row>
    <row r="24" spans="1:5" ht="12.75">
      <c r="A24" s="275" t="s">
        <v>475</v>
      </c>
      <c r="B24" s="276">
        <f>+'1 '!C135</f>
        <v>622655349</v>
      </c>
      <c r="C24" s="275" t="s">
        <v>429</v>
      </c>
      <c r="D24" s="277">
        <f>+5!G18+6!G17</f>
        <v>622655349</v>
      </c>
      <c r="E24" s="276">
        <f>+B24-D24</f>
        <v>0</v>
      </c>
    </row>
    <row r="25" spans="1:5" ht="12.75">
      <c r="A25" s="275" t="s">
        <v>465</v>
      </c>
      <c r="B25" s="276">
        <f>+'1 '!C160</f>
        <v>0</v>
      </c>
      <c r="C25" s="275" t="s">
        <v>438</v>
      </c>
      <c r="D25" s="277">
        <f>+5!G29+6!G30</f>
        <v>0</v>
      </c>
      <c r="E25" s="276">
        <f>+B25-D25</f>
        <v>0</v>
      </c>
    </row>
    <row r="26" spans="1:5" ht="12.75">
      <c r="A26" s="275" t="s">
        <v>466</v>
      </c>
      <c r="B26" s="276">
        <f>+'1 '!C161</f>
        <v>622655349</v>
      </c>
      <c r="C26" s="275" t="s">
        <v>439</v>
      </c>
      <c r="D26" s="277">
        <f>+5!G30+6!G31</f>
        <v>622655349</v>
      </c>
      <c r="E26" s="276">
        <f>+B26-D26</f>
        <v>0</v>
      </c>
    </row>
    <row r="27" spans="1:5" ht="12.75">
      <c r="A27" s="275"/>
      <c r="B27" s="276"/>
      <c r="C27" s="275"/>
      <c r="D27" s="277"/>
      <c r="E27" s="276"/>
    </row>
    <row r="28" spans="1:5" ht="15.75">
      <c r="A28" s="81" t="str">
        <f>+Z_ÖSSZEFÜGGÉSEK!A31</f>
        <v>2020. évi módosított előirányzat KIADÁSOK</v>
      </c>
      <c r="B28" s="278"/>
      <c r="C28" s="279"/>
      <c r="D28" s="277"/>
      <c r="E28" s="276"/>
    </row>
    <row r="29" spans="1:5" ht="12.75">
      <c r="A29" s="275"/>
      <c r="B29" s="276"/>
      <c r="C29" s="275"/>
      <c r="D29" s="277"/>
      <c r="E29" s="276"/>
    </row>
    <row r="30" spans="1:5" ht="12.75">
      <c r="A30" s="275" t="s">
        <v>467</v>
      </c>
      <c r="B30" s="276">
        <f>+'1 '!D135</f>
        <v>645675152</v>
      </c>
      <c r="C30" s="275" t="s">
        <v>430</v>
      </c>
      <c r="D30" s="277">
        <f>+5!H18+6!H17</f>
        <v>645675152</v>
      </c>
      <c r="E30" s="276">
        <f>+B30-D30</f>
        <v>0</v>
      </c>
    </row>
    <row r="31" spans="1:5" ht="12.75">
      <c r="A31" s="275" t="s">
        <v>468</v>
      </c>
      <c r="B31" s="276">
        <f>+'1 '!D160</f>
        <v>7715657</v>
      </c>
      <c r="C31" s="275" t="s">
        <v>440</v>
      </c>
      <c r="D31" s="277">
        <f>+5!H29+6!H30</f>
        <v>7715657</v>
      </c>
      <c r="E31" s="276">
        <f>+B31-D31</f>
        <v>0</v>
      </c>
    </row>
    <row r="32" spans="1:5" ht="12.75">
      <c r="A32" s="275" t="s">
        <v>469</v>
      </c>
      <c r="B32" s="276">
        <f>+'1 '!D161</f>
        <v>653390809</v>
      </c>
      <c r="C32" s="275" t="s">
        <v>441</v>
      </c>
      <c r="D32" s="277">
        <f>+5!H30+6!H31</f>
        <v>653390809</v>
      </c>
      <c r="E32" s="276">
        <f>+B32-D32</f>
        <v>0</v>
      </c>
    </row>
    <row r="33" spans="1:5" ht="12.75">
      <c r="A33" s="275"/>
      <c r="B33" s="276"/>
      <c r="C33" s="275"/>
      <c r="D33" s="277"/>
      <c r="E33" s="276"/>
    </row>
    <row r="34" spans="1:5" ht="15.75">
      <c r="A34" s="281" t="str">
        <f>+Z_ÖSSZEFÜGGÉSEK!A37</f>
        <v>2020.évi teljesített KIADÁSOK</v>
      </c>
      <c r="B34" s="278"/>
      <c r="C34" s="279"/>
      <c r="D34" s="277"/>
      <c r="E34" s="276"/>
    </row>
    <row r="35" spans="1:5" ht="12.75">
      <c r="A35" s="275"/>
      <c r="B35" s="276"/>
      <c r="C35" s="275"/>
      <c r="D35" s="277"/>
      <c r="E35" s="276"/>
    </row>
    <row r="36" spans="1:5" ht="12.75">
      <c r="A36" s="275" t="s">
        <v>470</v>
      </c>
      <c r="B36" s="276">
        <f>+'1 '!E135</f>
        <v>465521952</v>
      </c>
      <c r="C36" s="275" t="s">
        <v>431</v>
      </c>
      <c r="D36" s="277">
        <f>+5!I18+6!I17</f>
        <v>465521952</v>
      </c>
      <c r="E36" s="276">
        <f>+B36-D36</f>
        <v>0</v>
      </c>
    </row>
    <row r="37" spans="1:5" ht="12.75">
      <c r="A37" s="275" t="s">
        <v>471</v>
      </c>
      <c r="B37" s="276">
        <f>+'1 '!E160</f>
        <v>7715657</v>
      </c>
      <c r="C37" s="275" t="s">
        <v>442</v>
      </c>
      <c r="D37" s="277">
        <f>+5!I29+6!I30</f>
        <v>7715657</v>
      </c>
      <c r="E37" s="276">
        <f>+B37-D37</f>
        <v>0</v>
      </c>
    </row>
    <row r="38" spans="1:5" ht="12.75">
      <c r="A38" s="275" t="s">
        <v>476</v>
      </c>
      <c r="B38" s="276">
        <f>+'1 '!E161</f>
        <v>473237609</v>
      </c>
      <c r="C38" s="275" t="s">
        <v>443</v>
      </c>
      <c r="D38" s="277">
        <f>+5!I30+6!I31</f>
        <v>473237609</v>
      </c>
      <c r="E38" s="276">
        <f>+B38-D38</f>
        <v>0</v>
      </c>
    </row>
  </sheetData>
  <sheetProtection sheet="1"/>
  <conditionalFormatting sqref="E3:E15">
    <cfRule type="cellIs" priority="2" dxfId="4" operator="notEqual" stopIfTrue="1">
      <formula>0</formula>
    </cfRule>
  </conditionalFormatting>
  <conditionalFormatting sqref="E3:E38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zoomScale="120" zoomScaleNormal="120" workbookViewId="0" topLeftCell="A1">
      <selection activeCell="B2" sqref="B2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37"/>
      <c r="B1" s="829" t="str">
        <f>CONCATENATE("7. melléklet ",Z_ALAPADATOK!A7," ",Z_ALAPADATOK!B7," ",Z_ALAPADATOK!C7," ",Z_ALAPADATOK!D7," ",Z_ALAPADATOK!E7," ",Z_ALAPADATOK!F7," ",Z_ALAPADATOK!G7," ",Z_ALAPADATOK!H7)</f>
        <v>7. melléklet a 8 / 2021. ( V.25 ) önkormányzati rendelethez</v>
      </c>
      <c r="C1" s="830"/>
      <c r="D1" s="830"/>
      <c r="E1" s="830"/>
      <c r="F1" s="830"/>
      <c r="G1" s="830"/>
    </row>
    <row r="2" spans="1:7" ht="12.75">
      <c r="A2" s="337"/>
      <c r="B2" s="338"/>
      <c r="C2" s="338"/>
      <c r="D2" s="338"/>
      <c r="E2" s="338"/>
      <c r="F2" s="338"/>
      <c r="G2" s="338"/>
    </row>
    <row r="3" spans="1:7" ht="25.5" customHeight="1">
      <c r="A3" s="828" t="s">
        <v>517</v>
      </c>
      <c r="B3" s="828"/>
      <c r="C3" s="828"/>
      <c r="D3" s="828"/>
      <c r="E3" s="828"/>
      <c r="F3" s="828"/>
      <c r="G3" s="828"/>
    </row>
    <row r="4" spans="1:7" ht="22.5" customHeight="1" thickBot="1">
      <c r="A4" s="337"/>
      <c r="B4" s="338"/>
      <c r="C4" s="338"/>
      <c r="D4" s="338"/>
      <c r="E4" s="338"/>
      <c r="F4" s="338"/>
      <c r="G4" s="339" t="str">
        <f>6!I2</f>
        <v> Forintban!</v>
      </c>
    </row>
    <row r="5" spans="1:7" s="29" customFormat="1" ht="44.25" customHeight="1" thickBot="1">
      <c r="A5" s="340" t="s">
        <v>47</v>
      </c>
      <c r="B5" s="310" t="s">
        <v>48</v>
      </c>
      <c r="C5" s="310" t="s">
        <v>49</v>
      </c>
      <c r="D5" s="310" t="str">
        <f>+CONCATENATE("Felhasználás   ",LEFT(Z_ÖSSZEFÜGGÉSEK!A6,4)-1,". XII. 31-ig")</f>
        <v>Felhasználás   2019. XII. 31-ig</v>
      </c>
      <c r="E5" s="310" t="str">
        <f>+CONCATENATE(LEFT(Z_ÖSSZEFÜGGÉSEK!A6,4),". évi",CHAR(10),"módosított előirányzat")</f>
        <v>2020. évi
módosított előirányzat</v>
      </c>
      <c r="F5" s="310" t="str">
        <f>+CONCATENATE("Teljesítés",CHAR(10),LEFT(Z_ÖSSZEFÜGGÉSEK!A6,4),". I. 1-től XII.31-ig")</f>
        <v>Teljesítés
2020. I. 1-től XII.31-ig</v>
      </c>
      <c r="G5" s="311" t="str">
        <f>+CONCATENATE("Összes teljesítés",CHAR(10),LEFT(Z_ÖSSZEFÜGGÉSEK!A6,4),". XII. 31-ig")</f>
        <v>Összes teljesítés
2020. XII. 31-ig</v>
      </c>
    </row>
    <row r="6" spans="1:7" s="33" customFormat="1" ht="12" customHeight="1" thickBot="1">
      <c r="A6" s="341" t="s">
        <v>386</v>
      </c>
      <c r="B6" s="342" t="s">
        <v>387</v>
      </c>
      <c r="C6" s="342" t="s">
        <v>388</v>
      </c>
      <c r="D6" s="342" t="s">
        <v>390</v>
      </c>
      <c r="E6" s="342" t="s">
        <v>389</v>
      </c>
      <c r="F6" s="342" t="s">
        <v>391</v>
      </c>
      <c r="G6" s="343" t="s">
        <v>444</v>
      </c>
    </row>
    <row r="7" spans="1:7" ht="15.75" customHeight="1">
      <c r="A7" s="758" t="s">
        <v>873</v>
      </c>
      <c r="B7" s="759">
        <v>89545440</v>
      </c>
      <c r="C7" s="760">
        <v>2018</v>
      </c>
      <c r="D7" s="772">
        <v>75084576</v>
      </c>
      <c r="E7" s="21">
        <v>8088285</v>
      </c>
      <c r="F7" s="21">
        <v>8072789</v>
      </c>
      <c r="G7" s="34">
        <f aca="true" t="shared" si="0" ref="G7:G32">D7+F7</f>
        <v>83157365</v>
      </c>
    </row>
    <row r="8" spans="1:7" ht="15.75" customHeight="1">
      <c r="A8" s="758" t="s">
        <v>874</v>
      </c>
      <c r="B8" s="759">
        <v>202279</v>
      </c>
      <c r="C8" s="760">
        <v>2020</v>
      </c>
      <c r="D8" s="772"/>
      <c r="E8" s="21">
        <v>202279</v>
      </c>
      <c r="F8" s="21"/>
      <c r="G8" s="34">
        <f t="shared" si="0"/>
        <v>0</v>
      </c>
    </row>
    <row r="9" spans="1:7" ht="15.75" customHeight="1">
      <c r="A9" s="761" t="s">
        <v>875</v>
      </c>
      <c r="B9" s="759">
        <v>6000000</v>
      </c>
      <c r="C9" s="762" t="s">
        <v>876</v>
      </c>
      <c r="D9" s="773"/>
      <c r="E9" s="21">
        <v>3692543</v>
      </c>
      <c r="F9" s="21">
        <v>809623</v>
      </c>
      <c r="G9" s="34">
        <f t="shared" si="0"/>
        <v>809623</v>
      </c>
    </row>
    <row r="10" spans="1:7" ht="15.75" customHeight="1">
      <c r="A10" s="761" t="s">
        <v>877</v>
      </c>
      <c r="B10" s="759">
        <v>1200000</v>
      </c>
      <c r="C10" s="762" t="s">
        <v>876</v>
      </c>
      <c r="D10" s="773"/>
      <c r="E10" s="21">
        <v>650000</v>
      </c>
      <c r="F10" s="21">
        <v>668320</v>
      </c>
      <c r="G10" s="34">
        <f t="shared" si="0"/>
        <v>668320</v>
      </c>
    </row>
    <row r="11" spans="1:7" ht="15.75" customHeight="1">
      <c r="A11" s="761" t="s">
        <v>878</v>
      </c>
      <c r="B11" s="759">
        <v>10214610</v>
      </c>
      <c r="C11" s="762" t="s">
        <v>876</v>
      </c>
      <c r="D11" s="773"/>
      <c r="E11" s="21">
        <v>10214610</v>
      </c>
      <c r="F11" s="21">
        <v>10214155</v>
      </c>
      <c r="G11" s="34">
        <f t="shared" si="0"/>
        <v>10214155</v>
      </c>
    </row>
    <row r="12" spans="1:7" ht="15.75" customHeight="1">
      <c r="A12" s="763" t="s">
        <v>879</v>
      </c>
      <c r="B12" s="759">
        <v>4990847</v>
      </c>
      <c r="C12" s="762" t="s">
        <v>880</v>
      </c>
      <c r="D12" s="773">
        <v>200000</v>
      </c>
      <c r="E12" s="21">
        <v>4990847</v>
      </c>
      <c r="F12" s="21">
        <v>4790626</v>
      </c>
      <c r="G12" s="34">
        <f t="shared" si="0"/>
        <v>4990626</v>
      </c>
    </row>
    <row r="13" spans="1:7" ht="15.75" customHeight="1">
      <c r="A13" s="761" t="s">
        <v>881</v>
      </c>
      <c r="B13" s="759">
        <v>23789351</v>
      </c>
      <c r="C13" s="762" t="s">
        <v>880</v>
      </c>
      <c r="D13" s="773"/>
      <c r="E13" s="21">
        <v>23789351</v>
      </c>
      <c r="F13" s="21">
        <v>0</v>
      </c>
      <c r="G13" s="34">
        <f t="shared" si="0"/>
        <v>0</v>
      </c>
    </row>
    <row r="14" spans="1:7" ht="15.75" customHeight="1">
      <c r="A14" s="763" t="s">
        <v>882</v>
      </c>
      <c r="B14" s="759">
        <v>14995728</v>
      </c>
      <c r="C14" s="762" t="s">
        <v>876</v>
      </c>
      <c r="D14" s="773"/>
      <c r="E14" s="21">
        <v>14995728</v>
      </c>
      <c r="F14" s="21">
        <v>14845863</v>
      </c>
      <c r="G14" s="34">
        <f t="shared" si="0"/>
        <v>14845863</v>
      </c>
    </row>
    <row r="15" spans="1:7" ht="15.75" customHeight="1">
      <c r="A15" s="761" t="s">
        <v>883</v>
      </c>
      <c r="B15" s="759">
        <v>2000000</v>
      </c>
      <c r="C15" s="762" t="s">
        <v>876</v>
      </c>
      <c r="D15" s="773"/>
      <c r="E15" s="21">
        <v>2000000</v>
      </c>
      <c r="F15" s="21">
        <v>1410000</v>
      </c>
      <c r="G15" s="34">
        <f t="shared" si="0"/>
        <v>1410000</v>
      </c>
    </row>
    <row r="16" spans="1:7" ht="15.75" customHeight="1">
      <c r="A16" s="761" t="s">
        <v>884</v>
      </c>
      <c r="B16" s="759">
        <v>91000000</v>
      </c>
      <c r="C16" s="762" t="s">
        <v>876</v>
      </c>
      <c r="D16" s="773"/>
      <c r="E16" s="21">
        <v>91000000</v>
      </c>
      <c r="F16" s="21">
        <v>3235800</v>
      </c>
      <c r="G16" s="34">
        <f t="shared" si="0"/>
        <v>3235800</v>
      </c>
    </row>
    <row r="17" spans="1:7" ht="15.75" customHeight="1">
      <c r="A17" s="761" t="s">
        <v>885</v>
      </c>
      <c r="B17" s="759">
        <v>7255000</v>
      </c>
      <c r="C17" s="762" t="s">
        <v>876</v>
      </c>
      <c r="D17" s="773"/>
      <c r="E17" s="21">
        <v>7255000</v>
      </c>
      <c r="F17" s="21"/>
      <c r="G17" s="34">
        <f t="shared" si="0"/>
        <v>0</v>
      </c>
    </row>
    <row r="18" spans="1:7" ht="15.75" customHeight="1">
      <c r="A18" s="761" t="s">
        <v>886</v>
      </c>
      <c r="B18" s="759">
        <v>20000</v>
      </c>
      <c r="C18" s="762" t="s">
        <v>876</v>
      </c>
      <c r="D18" s="773"/>
      <c r="E18" s="21">
        <v>20000</v>
      </c>
      <c r="F18" s="21"/>
      <c r="G18" s="34">
        <f t="shared" si="0"/>
        <v>0</v>
      </c>
    </row>
    <row r="19" spans="1:7" ht="15.75" customHeight="1">
      <c r="A19" s="761" t="s">
        <v>887</v>
      </c>
      <c r="B19" s="759">
        <v>3696026</v>
      </c>
      <c r="C19" s="762" t="s">
        <v>876</v>
      </c>
      <c r="D19" s="773"/>
      <c r="E19" s="21">
        <v>3696026</v>
      </c>
      <c r="F19" s="21">
        <v>3745214</v>
      </c>
      <c r="G19" s="34">
        <f t="shared" si="0"/>
        <v>3745214</v>
      </c>
    </row>
    <row r="20" spans="1:7" ht="15.75" customHeight="1">
      <c r="A20" s="761" t="s">
        <v>888</v>
      </c>
      <c r="B20" s="759">
        <v>1030932</v>
      </c>
      <c r="C20" s="762" t="s">
        <v>876</v>
      </c>
      <c r="D20" s="773"/>
      <c r="E20" s="21">
        <v>1030932</v>
      </c>
      <c r="F20" s="21">
        <v>1371410</v>
      </c>
      <c r="G20" s="34">
        <f t="shared" si="0"/>
        <v>1371410</v>
      </c>
    </row>
    <row r="21" spans="1:7" ht="15.75" customHeight="1">
      <c r="A21" s="764" t="s">
        <v>889</v>
      </c>
      <c r="B21" s="765">
        <v>500000</v>
      </c>
      <c r="C21" s="762" t="s">
        <v>876</v>
      </c>
      <c r="D21" s="773"/>
      <c r="E21" s="21"/>
      <c r="F21" s="21"/>
      <c r="G21" s="34">
        <f t="shared" si="0"/>
        <v>0</v>
      </c>
    </row>
    <row r="22" spans="1:7" ht="15.75" customHeight="1">
      <c r="A22" s="761" t="s">
        <v>890</v>
      </c>
      <c r="B22" s="759">
        <v>1037212</v>
      </c>
      <c r="C22" s="762" t="s">
        <v>876</v>
      </c>
      <c r="D22" s="773"/>
      <c r="E22" s="21">
        <v>1037212</v>
      </c>
      <c r="F22" s="21">
        <v>1042393</v>
      </c>
      <c r="G22" s="34">
        <f t="shared" si="0"/>
        <v>1042393</v>
      </c>
    </row>
    <row r="23" spans="1:7" ht="15.75" customHeight="1">
      <c r="A23" s="761" t="s">
        <v>904</v>
      </c>
      <c r="B23" s="759"/>
      <c r="C23" s="762" t="s">
        <v>876</v>
      </c>
      <c r="D23" s="773"/>
      <c r="E23" s="21"/>
      <c r="F23" s="21">
        <v>340487</v>
      </c>
      <c r="G23" s="34">
        <f t="shared" si="0"/>
        <v>340487</v>
      </c>
    </row>
    <row r="24" spans="1:7" ht="15.75" customHeight="1">
      <c r="A24" s="761" t="s">
        <v>905</v>
      </c>
      <c r="B24" s="759"/>
      <c r="C24" s="762" t="s">
        <v>876</v>
      </c>
      <c r="D24" s="773"/>
      <c r="E24" s="21">
        <v>4880000</v>
      </c>
      <c r="F24" s="21">
        <v>1000000</v>
      </c>
      <c r="G24" s="34">
        <f t="shared" si="0"/>
        <v>1000000</v>
      </c>
    </row>
    <row r="25" spans="1:7" ht="15.75" customHeight="1">
      <c r="A25" s="761" t="s">
        <v>906</v>
      </c>
      <c r="B25" s="759"/>
      <c r="C25" s="762" t="s">
        <v>876</v>
      </c>
      <c r="D25" s="773"/>
      <c r="E25" s="21"/>
      <c r="F25" s="21">
        <v>2896800</v>
      </c>
      <c r="G25" s="34">
        <f t="shared" si="0"/>
        <v>2896800</v>
      </c>
    </row>
    <row r="26" spans="1:7" ht="15.75" customHeight="1">
      <c r="A26" s="761" t="s">
        <v>907</v>
      </c>
      <c r="B26" s="759"/>
      <c r="C26" s="762" t="s">
        <v>876</v>
      </c>
      <c r="D26" s="773"/>
      <c r="E26" s="21">
        <v>12420600</v>
      </c>
      <c r="F26" s="21">
        <v>12420600</v>
      </c>
      <c r="G26" s="34">
        <f t="shared" si="0"/>
        <v>12420600</v>
      </c>
    </row>
    <row r="27" spans="1:7" ht="15.75" customHeight="1">
      <c r="A27" s="761" t="s">
        <v>908</v>
      </c>
      <c r="B27" s="759"/>
      <c r="C27" s="762" t="s">
        <v>876</v>
      </c>
      <c r="D27" s="773"/>
      <c r="E27" s="21">
        <v>54595</v>
      </c>
      <c r="F27" s="21">
        <v>54595</v>
      </c>
      <c r="G27" s="34">
        <f t="shared" si="0"/>
        <v>54595</v>
      </c>
    </row>
    <row r="28" spans="1:7" ht="15.75" customHeight="1">
      <c r="A28" s="766" t="s">
        <v>46</v>
      </c>
      <c r="B28" s="767">
        <f>SUM(B7:B27)</f>
        <v>257477425</v>
      </c>
      <c r="C28" s="767"/>
      <c r="D28" s="767">
        <f>SUM(D7:D27)</f>
        <v>75284576</v>
      </c>
      <c r="E28" s="781">
        <f>SUM(E7:E27)</f>
        <v>190018008</v>
      </c>
      <c r="F28" s="767">
        <f>SUM(F7:F27)</f>
        <v>66918675</v>
      </c>
      <c r="G28" s="767">
        <f>SUM(G7:G27)</f>
        <v>142203251</v>
      </c>
    </row>
    <row r="29" spans="1:7" ht="15.75" customHeight="1">
      <c r="A29" s="764" t="s">
        <v>891</v>
      </c>
      <c r="B29" s="765">
        <v>550000</v>
      </c>
      <c r="C29" s="762" t="s">
        <v>876</v>
      </c>
      <c r="D29" s="773"/>
      <c r="E29" s="21">
        <v>300000</v>
      </c>
      <c r="F29" s="21">
        <v>279890</v>
      </c>
      <c r="G29" s="34"/>
    </row>
    <row r="30" spans="1:7" ht="15.75" customHeight="1">
      <c r="A30" s="764" t="s">
        <v>892</v>
      </c>
      <c r="B30" s="765">
        <v>650000</v>
      </c>
      <c r="C30" s="762" t="s">
        <v>876</v>
      </c>
      <c r="D30" s="773"/>
      <c r="E30" s="21">
        <v>300000</v>
      </c>
      <c r="F30" s="21">
        <v>278326</v>
      </c>
      <c r="G30" s="34">
        <f t="shared" si="0"/>
        <v>278326</v>
      </c>
    </row>
    <row r="31" spans="1:7" ht="15.75" customHeight="1">
      <c r="A31" s="764" t="s">
        <v>893</v>
      </c>
      <c r="B31" s="765">
        <v>700000</v>
      </c>
      <c r="C31" s="762" t="s">
        <v>876</v>
      </c>
      <c r="D31" s="773"/>
      <c r="E31" s="21">
        <v>800000</v>
      </c>
      <c r="F31" s="21">
        <v>790782</v>
      </c>
      <c r="G31" s="34">
        <f t="shared" si="0"/>
        <v>790782</v>
      </c>
    </row>
    <row r="32" spans="1:7" ht="15.75" customHeight="1">
      <c r="A32" s="764" t="s">
        <v>894</v>
      </c>
      <c r="B32" s="765">
        <v>55000</v>
      </c>
      <c r="C32" s="762" t="s">
        <v>876</v>
      </c>
      <c r="D32" s="773"/>
      <c r="E32" s="22">
        <v>55000</v>
      </c>
      <c r="F32" s="22">
        <v>32400</v>
      </c>
      <c r="G32" s="36">
        <f t="shared" si="0"/>
        <v>32400</v>
      </c>
    </row>
    <row r="33" spans="1:7" ht="15.75" customHeight="1">
      <c r="A33" s="764" t="s">
        <v>910</v>
      </c>
      <c r="B33" s="765"/>
      <c r="C33" s="762"/>
      <c r="D33" s="773"/>
      <c r="E33" s="22">
        <v>500000</v>
      </c>
      <c r="F33" s="22"/>
      <c r="G33" s="780"/>
    </row>
    <row r="34" spans="1:7" s="39" customFormat="1" ht="18" customHeight="1">
      <c r="A34" s="766" t="s">
        <v>46</v>
      </c>
      <c r="B34" s="767">
        <f aca="true" t="shared" si="1" ref="B34:G34">SUM(B29:B32)</f>
        <v>1955000</v>
      </c>
      <c r="C34" s="767">
        <f t="shared" si="1"/>
        <v>0</v>
      </c>
      <c r="D34" s="767">
        <f t="shared" si="1"/>
        <v>0</v>
      </c>
      <c r="E34" s="767">
        <f>SUM(E29:E33)</f>
        <v>1955000</v>
      </c>
      <c r="F34" s="767">
        <f t="shared" si="1"/>
        <v>1381398</v>
      </c>
      <c r="G34" s="767">
        <f t="shared" si="1"/>
        <v>1101508</v>
      </c>
    </row>
    <row r="35" spans="1:7" ht="23.25" thickBot="1">
      <c r="A35" s="768" t="s">
        <v>909</v>
      </c>
      <c r="B35" s="769">
        <v>254000</v>
      </c>
      <c r="C35" s="779">
        <v>2020</v>
      </c>
      <c r="D35" s="779"/>
      <c r="E35" s="779">
        <v>254000</v>
      </c>
      <c r="F35" s="779">
        <v>148821</v>
      </c>
      <c r="G35" s="779"/>
    </row>
    <row r="36" spans="1:7" ht="13.5" thickBot="1">
      <c r="A36" s="770" t="s">
        <v>46</v>
      </c>
      <c r="B36" s="771">
        <f>SUM(B7:B34)-B28-B34+B35</f>
        <v>259686425</v>
      </c>
      <c r="C36" s="771"/>
      <c r="D36" s="771">
        <f>SUM(D7:D34)-D28-D34+D35</f>
        <v>75284576</v>
      </c>
      <c r="E36" s="771">
        <f>SUM(E7:E34)-E28-E34+E35</f>
        <v>192227008</v>
      </c>
      <c r="F36" s="771">
        <f>SUM(F7:F34)-F28-F34+F35</f>
        <v>68448894</v>
      </c>
      <c r="G36" s="771">
        <f>SUM(G7:G34)-G28-G34+G35</f>
        <v>143304759</v>
      </c>
    </row>
  </sheetData>
  <sheetProtection/>
  <mergeCells count="2">
    <mergeCell ref="A3:G3"/>
    <mergeCell ref="B1:G1"/>
  </mergeCells>
  <printOptions horizontalCentered="1"/>
  <pageMargins left="0.5905511811023623" right="0.5118110236220472" top="1.0236220472440944" bottom="0.3937007874015748" header="0.7874015748031497" footer="0.7874015748031497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zoomScale="120" zoomScaleNormal="120" workbookViewId="0" topLeftCell="A1">
      <selection activeCell="B1" sqref="B1:G1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5.87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37"/>
      <c r="B1" s="829" t="str">
        <f>CONCATENATE("8. melléklet ",Z_ALAPADATOK!A7," ",Z_ALAPADATOK!B7," ",Z_ALAPADATOK!C7," ",Z_ALAPADATOK!D7," ",Z_ALAPADATOK!E7," ",Z_ALAPADATOK!F7," ",Z_ALAPADATOK!G7," ",Z_ALAPADATOK!H7)</f>
        <v>8. melléklet a 8 / 2021. ( V.25 ) önkormányzati rendelethez</v>
      </c>
      <c r="C1" s="829"/>
      <c r="D1" s="829"/>
      <c r="E1" s="829"/>
      <c r="F1" s="829"/>
      <c r="G1" s="829"/>
    </row>
    <row r="2" spans="1:7" ht="12.75">
      <c r="A2" s="337"/>
      <c r="B2" s="338"/>
      <c r="C2" s="338"/>
      <c r="D2" s="338"/>
      <c r="E2" s="338"/>
      <c r="F2" s="338"/>
      <c r="G2" s="338"/>
    </row>
    <row r="3" spans="1:7" ht="24.75" customHeight="1">
      <c r="A3" s="828" t="s">
        <v>518</v>
      </c>
      <c r="B3" s="828"/>
      <c r="C3" s="828"/>
      <c r="D3" s="828"/>
      <c r="E3" s="828"/>
      <c r="F3" s="828"/>
      <c r="G3" s="828"/>
    </row>
    <row r="4" spans="1:7" ht="23.25" customHeight="1" thickBot="1">
      <c r="A4" s="337"/>
      <c r="B4" s="338"/>
      <c r="C4" s="338"/>
      <c r="D4" s="338"/>
      <c r="E4" s="338"/>
      <c r="F4" s="338"/>
      <c r="G4" s="339" t="str">
        <f>7!G4</f>
        <v> Forintban!</v>
      </c>
    </row>
    <row r="5" spans="1:7" s="29" customFormat="1" ht="48.75" customHeight="1" thickBot="1">
      <c r="A5" s="340" t="s">
        <v>50</v>
      </c>
      <c r="B5" s="310" t="s">
        <v>48</v>
      </c>
      <c r="C5" s="310" t="s">
        <v>49</v>
      </c>
      <c r="D5" s="310" t="str">
        <f>+7!D5</f>
        <v>Felhasználás   2019. XII. 31-ig</v>
      </c>
      <c r="E5" s="310" t="str">
        <f>+CONCATENATE(LEFT(Z_ÖSSZEFÜGGÉSEK!A6,4),". évi",CHAR(10),"módosított előirányzat")</f>
        <v>2020. évi
módosított előirányzat</v>
      </c>
      <c r="F5" s="310" t="str">
        <f>+CONCATENATE("Teljesítés",CHAR(10),LEFT(Z_ÖSSZEFÜGGÉSEK!A6,4),". I. 1-től XII. 31-ig")</f>
        <v>Teljesítés
2020. I. 1-től XII. 31-ig</v>
      </c>
      <c r="G5" s="311" t="str">
        <f>+CONCATENATE("Összes teljesítés",CHAR(10),LEFT(Z_ÖSSZEFÜGGÉSEK!A6,4),". XII. 31-ig")</f>
        <v>Összes teljesítés
2020. XII. 31-ig</v>
      </c>
    </row>
    <row r="6" spans="1:7" s="33" customFormat="1" ht="15" customHeight="1" thickBot="1">
      <c r="A6" s="341" t="s">
        <v>386</v>
      </c>
      <c r="B6" s="342" t="s">
        <v>387</v>
      </c>
      <c r="C6" s="342" t="s">
        <v>388</v>
      </c>
      <c r="D6" s="342" t="s">
        <v>390</v>
      </c>
      <c r="E6" s="342" t="s">
        <v>389</v>
      </c>
      <c r="F6" s="342" t="s">
        <v>391</v>
      </c>
      <c r="G6" s="343" t="s">
        <v>444</v>
      </c>
    </row>
    <row r="7" spans="1:7" ht="15.75" customHeight="1">
      <c r="A7" s="774" t="s">
        <v>895</v>
      </c>
      <c r="B7" s="759">
        <v>2658110</v>
      </c>
      <c r="C7" s="775" t="s">
        <v>880</v>
      </c>
      <c r="D7" s="759">
        <v>1100000</v>
      </c>
      <c r="E7" s="41">
        <v>1558110</v>
      </c>
      <c r="F7" s="41">
        <v>1558110</v>
      </c>
      <c r="G7" s="42">
        <f>D7+F7</f>
        <v>2658110</v>
      </c>
    </row>
    <row r="8" spans="1:7" ht="15.75" customHeight="1">
      <c r="A8" s="776" t="s">
        <v>896</v>
      </c>
      <c r="B8" s="765">
        <v>1000000</v>
      </c>
      <c r="C8" s="775" t="s">
        <v>876</v>
      </c>
      <c r="D8" s="759">
        <v>0</v>
      </c>
      <c r="E8" s="41"/>
      <c r="F8" s="41"/>
      <c r="G8" s="42">
        <f aca="true" t="shared" si="0" ref="G8:G24">D8+F8</f>
        <v>0</v>
      </c>
    </row>
    <row r="9" spans="1:7" ht="15.75" customHeight="1">
      <c r="A9" s="774" t="s">
        <v>897</v>
      </c>
      <c r="B9" s="759">
        <v>7620000</v>
      </c>
      <c r="C9" s="775" t="s">
        <v>876</v>
      </c>
      <c r="D9" s="759"/>
      <c r="E9" s="41">
        <v>7620000</v>
      </c>
      <c r="F9" s="41">
        <v>7620000</v>
      </c>
      <c r="G9" s="42">
        <f t="shared" si="0"/>
        <v>7620000</v>
      </c>
    </row>
    <row r="10" spans="1:7" ht="15.75" customHeight="1">
      <c r="A10" s="774" t="s">
        <v>898</v>
      </c>
      <c r="B10" s="759">
        <v>21260431</v>
      </c>
      <c r="C10" s="775" t="s">
        <v>899</v>
      </c>
      <c r="D10" s="759">
        <v>17161329</v>
      </c>
      <c r="E10" s="41">
        <v>3399846</v>
      </c>
      <c r="F10" s="41">
        <v>3399758</v>
      </c>
      <c r="G10" s="42">
        <f t="shared" si="0"/>
        <v>20561087</v>
      </c>
    </row>
    <row r="11" spans="1:7" ht="15.75" customHeight="1">
      <c r="A11" s="40" t="s">
        <v>911</v>
      </c>
      <c r="B11" s="41"/>
      <c r="C11" s="224"/>
      <c r="D11" s="41"/>
      <c r="E11" s="41">
        <v>1608448</v>
      </c>
      <c r="F11" s="41"/>
      <c r="G11" s="42">
        <f t="shared" si="0"/>
        <v>0</v>
      </c>
    </row>
    <row r="12" spans="1:7" ht="15.75" customHeight="1">
      <c r="A12" s="40"/>
      <c r="B12" s="41"/>
      <c r="C12" s="224"/>
      <c r="D12" s="41"/>
      <c r="E12" s="41"/>
      <c r="F12" s="41"/>
      <c r="G12" s="42">
        <f t="shared" si="0"/>
        <v>0</v>
      </c>
    </row>
    <row r="13" spans="1:7" ht="15.75" customHeight="1">
      <c r="A13" s="40"/>
      <c r="B13" s="41"/>
      <c r="C13" s="224"/>
      <c r="D13" s="41"/>
      <c r="E13" s="41"/>
      <c r="F13" s="41"/>
      <c r="G13" s="42">
        <f t="shared" si="0"/>
        <v>0</v>
      </c>
    </row>
    <row r="14" spans="1:7" ht="15.75" customHeight="1">
      <c r="A14" s="40"/>
      <c r="B14" s="41"/>
      <c r="C14" s="224"/>
      <c r="D14" s="41"/>
      <c r="E14" s="41"/>
      <c r="F14" s="41"/>
      <c r="G14" s="42">
        <f t="shared" si="0"/>
        <v>0</v>
      </c>
    </row>
    <row r="15" spans="1:7" ht="15.75" customHeight="1">
      <c r="A15" s="40"/>
      <c r="B15" s="41"/>
      <c r="C15" s="224"/>
      <c r="D15" s="41"/>
      <c r="E15" s="41"/>
      <c r="F15" s="41"/>
      <c r="G15" s="42">
        <f t="shared" si="0"/>
        <v>0</v>
      </c>
    </row>
    <row r="16" spans="1:7" ht="15.75" customHeight="1">
      <c r="A16" s="40"/>
      <c r="B16" s="41"/>
      <c r="C16" s="224"/>
      <c r="D16" s="41"/>
      <c r="E16" s="41"/>
      <c r="F16" s="41"/>
      <c r="G16" s="42">
        <f t="shared" si="0"/>
        <v>0</v>
      </c>
    </row>
    <row r="17" spans="1:7" ht="15.75" customHeight="1">
      <c r="A17" s="40"/>
      <c r="B17" s="41"/>
      <c r="C17" s="224"/>
      <c r="D17" s="41"/>
      <c r="E17" s="41"/>
      <c r="F17" s="41"/>
      <c r="G17" s="42">
        <f t="shared" si="0"/>
        <v>0</v>
      </c>
    </row>
    <row r="18" spans="1:7" ht="15.75" customHeight="1">
      <c r="A18" s="40"/>
      <c r="B18" s="41"/>
      <c r="C18" s="224"/>
      <c r="D18" s="41"/>
      <c r="E18" s="41"/>
      <c r="F18" s="41"/>
      <c r="G18" s="42">
        <f t="shared" si="0"/>
        <v>0</v>
      </c>
    </row>
    <row r="19" spans="1:7" ht="15.75" customHeight="1">
      <c r="A19" s="40"/>
      <c r="B19" s="41"/>
      <c r="C19" s="224"/>
      <c r="D19" s="41"/>
      <c r="E19" s="41"/>
      <c r="F19" s="41"/>
      <c r="G19" s="42">
        <f t="shared" si="0"/>
        <v>0</v>
      </c>
    </row>
    <row r="20" spans="1:7" ht="15.75" customHeight="1">
      <c r="A20" s="40"/>
      <c r="B20" s="41"/>
      <c r="C20" s="224"/>
      <c r="D20" s="41"/>
      <c r="E20" s="41"/>
      <c r="F20" s="41"/>
      <c r="G20" s="42">
        <f t="shared" si="0"/>
        <v>0</v>
      </c>
    </row>
    <row r="21" spans="1:7" ht="15.75" customHeight="1">
      <c r="A21" s="40"/>
      <c r="B21" s="41"/>
      <c r="C21" s="224"/>
      <c r="D21" s="41"/>
      <c r="E21" s="41"/>
      <c r="F21" s="41"/>
      <c r="G21" s="42">
        <f t="shared" si="0"/>
        <v>0</v>
      </c>
    </row>
    <row r="22" spans="1:7" ht="15.75" customHeight="1">
      <c r="A22" s="40"/>
      <c r="B22" s="41"/>
      <c r="C22" s="224"/>
      <c r="D22" s="41"/>
      <c r="E22" s="41"/>
      <c r="F22" s="41"/>
      <c r="G22" s="42">
        <f t="shared" si="0"/>
        <v>0</v>
      </c>
    </row>
    <row r="23" spans="1:7" ht="15.75" customHeight="1">
      <c r="A23" s="40"/>
      <c r="B23" s="41"/>
      <c r="C23" s="224"/>
      <c r="D23" s="41"/>
      <c r="E23" s="41"/>
      <c r="F23" s="41"/>
      <c r="G23" s="42">
        <f t="shared" si="0"/>
        <v>0</v>
      </c>
    </row>
    <row r="24" spans="1:7" ht="15.75" customHeight="1" thickBot="1">
      <c r="A24" s="43"/>
      <c r="B24" s="44"/>
      <c r="C24" s="225"/>
      <c r="D24" s="44"/>
      <c r="E24" s="44"/>
      <c r="F24" s="44"/>
      <c r="G24" s="45">
        <f t="shared" si="0"/>
        <v>0</v>
      </c>
    </row>
    <row r="25" spans="1:7" s="39" customFormat="1" ht="18" customHeight="1" thickBot="1">
      <c r="A25" s="72" t="s">
        <v>46</v>
      </c>
      <c r="B25" s="73">
        <f aca="true" t="shared" si="1" ref="B25:G25">SUM(B7:B24)</f>
        <v>32538541</v>
      </c>
      <c r="C25" s="73">
        <f t="shared" si="1"/>
        <v>0</v>
      </c>
      <c r="D25" s="73">
        <f t="shared" si="1"/>
        <v>18261329</v>
      </c>
      <c r="E25" s="73">
        <f t="shared" si="1"/>
        <v>14186404</v>
      </c>
      <c r="F25" s="73">
        <f t="shared" si="1"/>
        <v>12577868</v>
      </c>
      <c r="G25" s="73">
        <f t="shared" si="1"/>
        <v>30839197</v>
      </c>
    </row>
  </sheetData>
  <sheetProtection sheet="1"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1"/>
  <sheetViews>
    <sheetView zoomScale="120" zoomScaleNormal="120" zoomScaleSheetLayoutView="100" workbookViewId="0" topLeftCell="A4">
      <selection activeCell="J34" sqref="J34:J55"/>
    </sheetView>
  </sheetViews>
  <sheetFormatPr defaultColWidth="9.00390625" defaultRowHeight="12.75"/>
  <cols>
    <col min="1" max="1" width="28.50390625" style="0" customWidth="1"/>
    <col min="2" max="4" width="13.875" style="0" customWidth="1"/>
    <col min="5" max="5" width="12.875" style="0" customWidth="1"/>
    <col min="6" max="7" width="13.875" style="0" customWidth="1"/>
    <col min="8" max="8" width="12.875" style="0" customWidth="1"/>
    <col min="9" max="9" width="13.875" style="0" customWidth="1"/>
    <col min="10" max="10" width="7.375" style="0" customWidth="1"/>
    <col min="11" max="11" width="11.375" style="0" customWidth="1"/>
    <col min="12" max="12" width="4.00390625" style="0" customWidth="1"/>
  </cols>
  <sheetData>
    <row r="1" spans="1:10" ht="15" customHeight="1">
      <c r="A1" s="831"/>
      <c r="B1" s="831"/>
      <c r="C1" s="831"/>
      <c r="D1" s="831"/>
      <c r="E1" s="831"/>
      <c r="F1" s="831"/>
      <c r="G1" s="831"/>
      <c r="H1" s="831"/>
      <c r="I1" s="831"/>
      <c r="J1" s="832" t="str">
        <f>CONCATENATE("9. melléklet ",Z_ALAPADATOK!A7," ",Z_ALAPADATOK!B7," ",Z_ALAPADATOK!C7," ",Z_ALAPADATOK!D7," ",Z_ALAPADATOK!E7," ",Z_ALAPADATOK!F7," ",Z_ALAPADATOK!G7," ",Z_ALAPADATOK!H7)</f>
        <v>9. melléklet a 8 / 2021. ( V.25 ) önkormányzati rendelethez</v>
      </c>
    </row>
    <row r="2" spans="1:10" ht="15.75">
      <c r="A2" s="835" t="s">
        <v>855</v>
      </c>
      <c r="B2" s="835"/>
      <c r="C2" s="835"/>
      <c r="D2" s="835"/>
      <c r="E2" s="835"/>
      <c r="F2" s="835"/>
      <c r="G2" s="835"/>
      <c r="H2" s="835"/>
      <c r="I2" s="835"/>
      <c r="J2" s="832"/>
    </row>
    <row r="3" spans="1:10" ht="14.25" thickBot="1">
      <c r="A3" s="696"/>
      <c r="B3" s="696"/>
      <c r="C3" s="696"/>
      <c r="D3" s="696"/>
      <c r="E3" s="696"/>
      <c r="F3" s="696"/>
      <c r="G3" s="696"/>
      <c r="H3" s="836" t="str">
        <f>H13</f>
        <v>Forintban!</v>
      </c>
      <c r="I3" s="836"/>
      <c r="J3" s="832"/>
    </row>
    <row r="4" spans="1:10" ht="42.75" thickBot="1">
      <c r="A4" s="837" t="s">
        <v>89</v>
      </c>
      <c r="B4" s="838"/>
      <c r="C4" s="838"/>
      <c r="D4" s="838"/>
      <c r="E4" s="838"/>
      <c r="F4" s="839"/>
      <c r="G4" s="697" t="s">
        <v>449</v>
      </c>
      <c r="H4" s="697" t="s">
        <v>448</v>
      </c>
      <c r="I4" s="697" t="str">
        <f>CONCATENATE("Összes teljesítés ",Z_TARTALOMJEGYZÉK!A1,". XII.31 -ig")</f>
        <v>Összes teljesítés 2020. XII.31 -ig</v>
      </c>
      <c r="J4" s="832"/>
    </row>
    <row r="5" spans="1:10" ht="12.75">
      <c r="A5" s="840"/>
      <c r="B5" s="841"/>
      <c r="C5" s="841"/>
      <c r="D5" s="841"/>
      <c r="E5" s="841"/>
      <c r="F5" s="842"/>
      <c r="G5" s="698"/>
      <c r="H5" s="699"/>
      <c r="I5" s="699"/>
      <c r="J5" s="832"/>
    </row>
    <row r="6" spans="1:10" ht="13.5" thickBot="1">
      <c r="A6" s="843"/>
      <c r="B6" s="844"/>
      <c r="C6" s="844"/>
      <c r="D6" s="844"/>
      <c r="E6" s="844"/>
      <c r="F6" s="845"/>
      <c r="G6" s="700"/>
      <c r="H6" s="701"/>
      <c r="I6" s="701"/>
      <c r="J6" s="832"/>
    </row>
    <row r="7" spans="1:10" ht="13.5" thickBot="1">
      <c r="A7" s="846" t="s">
        <v>514</v>
      </c>
      <c r="B7" s="847"/>
      <c r="C7" s="847"/>
      <c r="D7" s="847"/>
      <c r="E7" s="847"/>
      <c r="F7" s="848"/>
      <c r="G7" s="702">
        <f>SUM(G5:G6)</f>
        <v>0</v>
      </c>
      <c r="H7" s="702">
        <f>SUM(H5:H6)</f>
        <v>0</v>
      </c>
      <c r="I7" s="702">
        <f>SUM(I5:I6)</f>
        <v>0</v>
      </c>
      <c r="J7" s="832"/>
    </row>
    <row r="8" spans="1:10" ht="12.75">
      <c r="A8" s="721"/>
      <c r="B8" s="721"/>
      <c r="C8" s="721"/>
      <c r="D8" s="721"/>
      <c r="E8" s="721"/>
      <c r="F8" s="721"/>
      <c r="G8" s="722"/>
      <c r="H8" s="722"/>
      <c r="I8" s="722"/>
      <c r="J8" s="832"/>
    </row>
    <row r="9" spans="1:10" ht="15.75">
      <c r="A9" s="833" t="s">
        <v>519</v>
      </c>
      <c r="B9" s="833"/>
      <c r="C9" s="833"/>
      <c r="D9" s="833"/>
      <c r="E9" s="833"/>
      <c r="F9" s="833"/>
      <c r="G9" s="833"/>
      <c r="H9" s="833"/>
      <c r="I9" s="833"/>
      <c r="J9" s="832"/>
    </row>
    <row r="10" spans="1:10" ht="15.75">
      <c r="A10" s="834" t="s">
        <v>852</v>
      </c>
      <c r="B10" s="833"/>
      <c r="C10" s="833"/>
      <c r="D10" s="833"/>
      <c r="E10" s="833"/>
      <c r="F10" s="833"/>
      <c r="G10" s="833"/>
      <c r="H10" s="833"/>
      <c r="I10" s="833"/>
      <c r="J10" s="832"/>
    </row>
    <row r="11" spans="1:10" ht="15.75">
      <c r="A11" s="695"/>
      <c r="B11" s="694"/>
      <c r="C11" s="694"/>
      <c r="D11" s="694"/>
      <c r="E11" s="694"/>
      <c r="F11" s="694"/>
      <c r="G11" s="694"/>
      <c r="H11" s="694"/>
      <c r="I11" s="694"/>
      <c r="J11" s="832"/>
    </row>
    <row r="12" spans="1:10" ht="14.25">
      <c r="A12" s="849" t="s">
        <v>853</v>
      </c>
      <c r="B12" s="849"/>
      <c r="C12" s="850" t="s">
        <v>965</v>
      </c>
      <c r="D12" s="851"/>
      <c r="E12" s="851"/>
      <c r="F12" s="851"/>
      <c r="G12" s="851"/>
      <c r="H12" s="851"/>
      <c r="I12" s="851"/>
      <c r="J12" s="832"/>
    </row>
    <row r="13" spans="1:10" ht="15.75" thickBot="1">
      <c r="A13" s="703"/>
      <c r="B13" s="703"/>
      <c r="C13" s="703"/>
      <c r="D13" s="703"/>
      <c r="E13" s="703"/>
      <c r="F13" s="703"/>
      <c r="G13" s="703"/>
      <c r="H13" s="852" t="s">
        <v>838</v>
      </c>
      <c r="I13" s="852"/>
      <c r="J13" s="832"/>
    </row>
    <row r="14" spans="1:10" ht="13.5" thickBot="1">
      <c r="A14" s="853" t="s">
        <v>83</v>
      </c>
      <c r="B14" s="856" t="s">
        <v>445</v>
      </c>
      <c r="C14" s="857"/>
      <c r="D14" s="857"/>
      <c r="E14" s="857"/>
      <c r="F14" s="858"/>
      <c r="G14" s="858"/>
      <c r="H14" s="858"/>
      <c r="I14" s="859"/>
      <c r="J14" s="832"/>
    </row>
    <row r="15" spans="1:10" ht="13.5" thickBot="1">
      <c r="A15" s="854"/>
      <c r="B15" s="860" t="s">
        <v>860</v>
      </c>
      <c r="C15" s="863" t="s">
        <v>854</v>
      </c>
      <c r="D15" s="864"/>
      <c r="E15" s="864"/>
      <c r="F15" s="864"/>
      <c r="G15" s="864"/>
      <c r="H15" s="864"/>
      <c r="I15" s="865"/>
      <c r="J15" s="832"/>
    </row>
    <row r="16" spans="1:10" ht="48.75" thickBot="1">
      <c r="A16" s="854"/>
      <c r="B16" s="861"/>
      <c r="C16" s="866" t="str">
        <f>CONCATENATE(Z_TARTALOMJEGYZÉK!$A$1,".  előtti forrás, kiadás")</f>
        <v>2020.  előtti forrás, kiadás</v>
      </c>
      <c r="D16" s="704" t="s">
        <v>447</v>
      </c>
      <c r="E16" s="704" t="s">
        <v>448</v>
      </c>
      <c r="F16" s="705" t="str">
        <f>CONCATENATE("Összes teljesítés ",Z_TARTALOMJEGYZÉK!$A$1,". XII.31 -ig")</f>
        <v>Összes teljesítés 2020. XII.31 -ig</v>
      </c>
      <c r="G16" s="705" t="s">
        <v>447</v>
      </c>
      <c r="H16" s="705" t="s">
        <v>448</v>
      </c>
      <c r="I16" s="705" t="str">
        <f>CONCATENATE("Összes teljesítés ",Z_TARTALOMJEGYZÉK!$A$1,". XII.31 -ig")</f>
        <v>Összes teljesítés 2020. XII.31 -ig</v>
      </c>
      <c r="J16" s="832"/>
    </row>
    <row r="17" spans="1:10" ht="11.25" customHeight="1" thickBot="1">
      <c r="A17" s="855"/>
      <c r="B17" s="862"/>
      <c r="C17" s="867"/>
      <c r="D17" s="868" t="str">
        <f>CONCATENATE(Z_TARTALOMJEGYZÉK!$A$1,". évi")</f>
        <v>2020. évi</v>
      </c>
      <c r="E17" s="869"/>
      <c r="F17" s="870"/>
      <c r="G17" s="868" t="str">
        <f>CONCATENATE(Z_TARTALOMJEGYZÉK!$A$1,". után")</f>
        <v>2020. után</v>
      </c>
      <c r="H17" s="871"/>
      <c r="I17" s="870"/>
      <c r="J17" s="832"/>
    </row>
    <row r="18" spans="1:10" ht="13.5" thickBot="1">
      <c r="A18" s="706" t="s">
        <v>386</v>
      </c>
      <c r="B18" s="707" t="s">
        <v>859</v>
      </c>
      <c r="C18" s="708" t="s">
        <v>388</v>
      </c>
      <c r="D18" s="709" t="s">
        <v>390</v>
      </c>
      <c r="E18" s="709" t="s">
        <v>389</v>
      </c>
      <c r="F18" s="708" t="s">
        <v>391</v>
      </c>
      <c r="G18" s="708" t="s">
        <v>392</v>
      </c>
      <c r="H18" s="708" t="s">
        <v>393</v>
      </c>
      <c r="I18" s="710" t="s">
        <v>858</v>
      </c>
      <c r="J18" s="832"/>
    </row>
    <row r="19" spans="1:10" ht="12.75">
      <c r="A19" s="711" t="s">
        <v>84</v>
      </c>
      <c r="B19" s="737">
        <f aca="true" t="shared" si="0" ref="B19:B24">C19+E19+H19</f>
        <v>0</v>
      </c>
      <c r="C19" s="723"/>
      <c r="D19" s="724"/>
      <c r="E19" s="724"/>
      <c r="F19" s="734"/>
      <c r="G19" s="724"/>
      <c r="H19" s="725"/>
      <c r="I19" s="726">
        <f aca="true" t="shared" si="1" ref="I19:I24">C19+F19</f>
        <v>0</v>
      </c>
      <c r="J19" s="832"/>
    </row>
    <row r="20" spans="1:10" ht="12.75">
      <c r="A20" s="712" t="s">
        <v>95</v>
      </c>
      <c r="B20" s="738">
        <f t="shared" si="0"/>
        <v>0</v>
      </c>
      <c r="C20" s="727"/>
      <c r="D20" s="727"/>
      <c r="E20" s="728"/>
      <c r="F20" s="735"/>
      <c r="G20" s="727"/>
      <c r="H20" s="728"/>
      <c r="I20" s="729">
        <f t="shared" si="1"/>
        <v>0</v>
      </c>
      <c r="J20" s="832"/>
    </row>
    <row r="21" spans="1:10" ht="12.75">
      <c r="A21" s="713" t="s">
        <v>85</v>
      </c>
      <c r="B21" s="739">
        <f t="shared" si="0"/>
        <v>46721000</v>
      </c>
      <c r="C21" s="728">
        <v>46721000</v>
      </c>
      <c r="D21" s="728"/>
      <c r="E21" s="728"/>
      <c r="F21" s="736"/>
      <c r="G21" s="728"/>
      <c r="H21" s="728"/>
      <c r="I21" s="729">
        <f t="shared" si="1"/>
        <v>46721000</v>
      </c>
      <c r="J21" s="832"/>
    </row>
    <row r="22" spans="1:10" ht="12.75">
      <c r="A22" s="713" t="s">
        <v>96</v>
      </c>
      <c r="B22" s="739">
        <f t="shared" si="0"/>
        <v>0</v>
      </c>
      <c r="C22" s="728"/>
      <c r="D22" s="728"/>
      <c r="E22" s="728"/>
      <c r="F22" s="736"/>
      <c r="G22" s="728"/>
      <c r="H22" s="728"/>
      <c r="I22" s="729">
        <f t="shared" si="1"/>
        <v>0</v>
      </c>
      <c r="J22" s="832"/>
    </row>
    <row r="23" spans="1:10" ht="12.75">
      <c r="A23" s="713" t="s">
        <v>86</v>
      </c>
      <c r="B23" s="739">
        <f t="shared" si="0"/>
        <v>0</v>
      </c>
      <c r="C23" s="728"/>
      <c r="D23" s="728"/>
      <c r="E23" s="728"/>
      <c r="F23" s="736"/>
      <c r="G23" s="728"/>
      <c r="H23" s="728"/>
      <c r="I23" s="729">
        <f t="shared" si="1"/>
        <v>0</v>
      </c>
      <c r="J23" s="832"/>
    </row>
    <row r="24" spans="1:10" ht="13.5" thickBot="1">
      <c r="A24" s="713" t="s">
        <v>87</v>
      </c>
      <c r="B24" s="739">
        <f t="shared" si="0"/>
        <v>0</v>
      </c>
      <c r="C24" s="728"/>
      <c r="D24" s="728"/>
      <c r="E24" s="728"/>
      <c r="F24" s="736"/>
      <c r="G24" s="728"/>
      <c r="H24" s="728"/>
      <c r="I24" s="729">
        <f t="shared" si="1"/>
        <v>0</v>
      </c>
      <c r="J24" s="832"/>
    </row>
    <row r="25" spans="1:10" ht="13.5" thickBot="1">
      <c r="A25" s="714" t="s">
        <v>88</v>
      </c>
      <c r="B25" s="740">
        <f aca="true" t="shared" si="2" ref="B25:I25">B19+SUM(B21:B24)</f>
        <v>46721000</v>
      </c>
      <c r="C25" s="730">
        <f t="shared" si="2"/>
        <v>46721000</v>
      </c>
      <c r="D25" s="730">
        <f t="shared" si="2"/>
        <v>0</v>
      </c>
      <c r="E25" s="730">
        <f t="shared" si="2"/>
        <v>0</v>
      </c>
      <c r="F25" s="730">
        <f t="shared" si="2"/>
        <v>0</v>
      </c>
      <c r="G25" s="730">
        <f t="shared" si="2"/>
        <v>0</v>
      </c>
      <c r="H25" s="730">
        <f t="shared" si="2"/>
        <v>0</v>
      </c>
      <c r="I25" s="731">
        <f t="shared" si="2"/>
        <v>46721000</v>
      </c>
      <c r="J25" s="832"/>
    </row>
    <row r="26" spans="1:10" ht="12.75">
      <c r="A26" s="715" t="s">
        <v>91</v>
      </c>
      <c r="B26" s="737">
        <f>C26+E26+H26</f>
        <v>9858629</v>
      </c>
      <c r="C26" s="724">
        <v>6978630</v>
      </c>
      <c r="D26" s="724">
        <v>2879999</v>
      </c>
      <c r="E26" s="724">
        <v>2879999</v>
      </c>
      <c r="F26" s="724"/>
      <c r="G26" s="724"/>
      <c r="H26" s="724"/>
      <c r="I26" s="726">
        <f>C26+F26</f>
        <v>6978630</v>
      </c>
      <c r="J26" s="832"/>
    </row>
    <row r="27" spans="1:10" ht="12.75">
      <c r="A27" s="716" t="s">
        <v>92</v>
      </c>
      <c r="B27" s="739">
        <f>C27+E27+H27</f>
        <v>0</v>
      </c>
      <c r="C27" s="728"/>
      <c r="D27" s="728"/>
      <c r="E27" s="728"/>
      <c r="F27" s="728"/>
      <c r="G27" s="728"/>
      <c r="H27" s="728"/>
      <c r="I27" s="729">
        <f>C27+F27</f>
        <v>0</v>
      </c>
      <c r="J27" s="832"/>
    </row>
    <row r="28" spans="1:10" ht="12.75">
      <c r="A28" s="716" t="s">
        <v>93</v>
      </c>
      <c r="B28" s="739">
        <f>C28+E28+H28</f>
        <v>36862371</v>
      </c>
      <c r="C28" s="728">
        <v>35961967</v>
      </c>
      <c r="D28" s="728">
        <v>900404</v>
      </c>
      <c r="E28" s="728">
        <v>900404</v>
      </c>
      <c r="F28" s="728"/>
      <c r="G28" s="728"/>
      <c r="H28" s="728"/>
      <c r="I28" s="729">
        <f>C28+F28</f>
        <v>35961967</v>
      </c>
      <c r="J28" s="832"/>
    </row>
    <row r="29" spans="1:10" ht="12.75">
      <c r="A29" s="716" t="s">
        <v>94</v>
      </c>
      <c r="B29" s="739">
        <f>C29+E29+H29</f>
        <v>0</v>
      </c>
      <c r="C29" s="728"/>
      <c r="D29" s="728"/>
      <c r="E29" s="728"/>
      <c r="F29" s="728"/>
      <c r="G29" s="728"/>
      <c r="H29" s="728"/>
      <c r="I29" s="729">
        <f>C29+F29</f>
        <v>0</v>
      </c>
      <c r="J29" s="832"/>
    </row>
    <row r="30" spans="1:10" ht="13.5" thickBot="1">
      <c r="A30" s="717"/>
      <c r="B30" s="741">
        <f>C30+E30+H30</f>
        <v>0</v>
      </c>
      <c r="C30" s="732"/>
      <c r="D30" s="732"/>
      <c r="E30" s="728"/>
      <c r="F30" s="732"/>
      <c r="G30" s="732"/>
      <c r="H30" s="728"/>
      <c r="I30" s="733">
        <f>C30+F30</f>
        <v>0</v>
      </c>
      <c r="J30" s="832"/>
    </row>
    <row r="31" spans="1:10" ht="13.5" thickBot="1">
      <c r="A31" s="718" t="s">
        <v>74</v>
      </c>
      <c r="B31" s="740">
        <f aca="true" t="shared" si="3" ref="B31:I31">SUM(B26:B30)</f>
        <v>46721000</v>
      </c>
      <c r="C31" s="730">
        <f t="shared" si="3"/>
        <v>42940597</v>
      </c>
      <c r="D31" s="730">
        <f t="shared" si="3"/>
        <v>3780403</v>
      </c>
      <c r="E31" s="730">
        <f t="shared" si="3"/>
        <v>3780403</v>
      </c>
      <c r="F31" s="730">
        <f t="shared" si="3"/>
        <v>0</v>
      </c>
      <c r="G31" s="730">
        <f t="shared" si="3"/>
        <v>0</v>
      </c>
      <c r="H31" s="730">
        <f t="shared" si="3"/>
        <v>0</v>
      </c>
      <c r="I31" s="731">
        <f t="shared" si="3"/>
        <v>42940597</v>
      </c>
      <c r="J31" s="832"/>
    </row>
    <row r="32" spans="1:10" ht="12.75">
      <c r="A32" s="872" t="s">
        <v>515</v>
      </c>
      <c r="B32" s="872"/>
      <c r="C32" s="872"/>
      <c r="D32" s="872"/>
      <c r="E32" s="872"/>
      <c r="F32" s="872"/>
      <c r="G32" s="872"/>
      <c r="H32" s="872"/>
      <c r="I32" s="872"/>
      <c r="J32" s="832"/>
    </row>
    <row r="33" spans="1:10" ht="12.75">
      <c r="A33" s="719"/>
      <c r="B33" s="719"/>
      <c r="C33" s="719"/>
      <c r="D33" s="719"/>
      <c r="E33" s="719"/>
      <c r="F33" s="719"/>
      <c r="G33" s="719"/>
      <c r="H33" s="719"/>
      <c r="I33" s="719"/>
      <c r="J33" s="832"/>
    </row>
    <row r="34" spans="1:10" ht="14.25" customHeight="1">
      <c r="A34" s="849" t="s">
        <v>856</v>
      </c>
      <c r="B34" s="849"/>
      <c r="C34" s="850" t="s">
        <v>966</v>
      </c>
      <c r="D34" s="851"/>
      <c r="E34" s="851"/>
      <c r="F34" s="851"/>
      <c r="G34" s="851"/>
      <c r="H34" s="851"/>
      <c r="I34" s="851"/>
      <c r="J34" s="832"/>
    </row>
    <row r="35" spans="1:10" ht="15.75" thickBot="1">
      <c r="A35" s="703"/>
      <c r="B35" s="703"/>
      <c r="C35" s="703"/>
      <c r="D35" s="703"/>
      <c r="E35" s="703"/>
      <c r="F35" s="703"/>
      <c r="G35" s="703"/>
      <c r="H35" s="852" t="s">
        <v>838</v>
      </c>
      <c r="I35" s="852"/>
      <c r="J35" s="832"/>
    </row>
    <row r="36" spans="1:10" ht="13.5" customHeight="1" thickBot="1">
      <c r="A36" s="853" t="s">
        <v>83</v>
      </c>
      <c r="B36" s="856" t="s">
        <v>445</v>
      </c>
      <c r="C36" s="857"/>
      <c r="D36" s="857"/>
      <c r="E36" s="857"/>
      <c r="F36" s="858"/>
      <c r="G36" s="858"/>
      <c r="H36" s="858"/>
      <c r="I36" s="859"/>
      <c r="J36" s="832"/>
    </row>
    <row r="37" spans="1:10" ht="13.5" customHeight="1" thickBot="1">
      <c r="A37" s="854"/>
      <c r="B37" s="860" t="str">
        <f>B15</f>
        <v>Módosítás utáni összes forrás, kiadás</v>
      </c>
      <c r="C37" s="863" t="s">
        <v>854</v>
      </c>
      <c r="D37" s="864"/>
      <c r="E37" s="864"/>
      <c r="F37" s="864"/>
      <c r="G37" s="864"/>
      <c r="H37" s="864"/>
      <c r="I37" s="865"/>
      <c r="J37" s="832"/>
    </row>
    <row r="38" spans="1:10" ht="48.75" thickBot="1">
      <c r="A38" s="854"/>
      <c r="B38" s="861"/>
      <c r="C38" s="866" t="str">
        <f>CONCATENATE(Z_TARTALOMJEGYZÉK!$A$1,".  előtti forrás, kiadás")</f>
        <v>2020.  előtti forrás, kiadás</v>
      </c>
      <c r="D38" s="704" t="s">
        <v>447</v>
      </c>
      <c r="E38" s="704" t="s">
        <v>448</v>
      </c>
      <c r="F38" s="705" t="str">
        <f>CONCATENATE("Összes teljesítés ",Z_TARTALOMJEGYZÉK!$A$1,". XII.31 -ig")</f>
        <v>Összes teljesítés 2020. XII.31 -ig</v>
      </c>
      <c r="G38" s="705" t="s">
        <v>447</v>
      </c>
      <c r="H38" s="705" t="s">
        <v>448</v>
      </c>
      <c r="I38" s="705" t="str">
        <f>CONCATENATE("Összes teljesítés ",Z_TARTALOMJEGYZÉK!$A$1,". XII.31 -ig")</f>
        <v>Összes teljesítés 2020. XII.31 -ig</v>
      </c>
      <c r="J38" s="832"/>
    </row>
    <row r="39" spans="1:10" ht="13.5" thickBot="1">
      <c r="A39" s="855"/>
      <c r="B39" s="862"/>
      <c r="C39" s="867"/>
      <c r="D39" s="868" t="str">
        <f>CONCATENATE(Z_TARTALOMJEGYZÉK!$A$1,". évi")</f>
        <v>2020. évi</v>
      </c>
      <c r="E39" s="869"/>
      <c r="F39" s="870"/>
      <c r="G39" s="868" t="str">
        <f>CONCATENATE(Z_TARTALOMJEGYZÉK!$A$1,". után")</f>
        <v>2020. után</v>
      </c>
      <c r="H39" s="871"/>
      <c r="I39" s="870"/>
      <c r="J39" s="832"/>
    </row>
    <row r="40" spans="1:10" ht="13.5" thickBot="1">
      <c r="A40" s="706" t="s">
        <v>386</v>
      </c>
      <c r="B40" s="707" t="s">
        <v>859</v>
      </c>
      <c r="C40" s="708" t="s">
        <v>388</v>
      </c>
      <c r="D40" s="709" t="s">
        <v>390</v>
      </c>
      <c r="E40" s="709" t="s">
        <v>389</v>
      </c>
      <c r="F40" s="708" t="s">
        <v>391</v>
      </c>
      <c r="G40" s="708" t="s">
        <v>392</v>
      </c>
      <c r="H40" s="708" t="s">
        <v>393</v>
      </c>
      <c r="I40" s="710" t="s">
        <v>858</v>
      </c>
      <c r="J40" s="832"/>
    </row>
    <row r="41" spans="1:10" ht="12.75">
      <c r="A41" s="711" t="s">
        <v>84</v>
      </c>
      <c r="B41" s="737">
        <f aca="true" t="shared" si="4" ref="B41:B46">C41+E41+H41</f>
        <v>0</v>
      </c>
      <c r="C41" s="723"/>
      <c r="D41" s="724"/>
      <c r="E41" s="724"/>
      <c r="F41" s="734"/>
      <c r="G41" s="724"/>
      <c r="H41" s="725"/>
      <c r="I41" s="726">
        <f aca="true" t="shared" si="5" ref="I41:I46">C41+F41</f>
        <v>0</v>
      </c>
      <c r="J41" s="832"/>
    </row>
    <row r="42" spans="1:10" ht="12.75">
      <c r="A42" s="712" t="s">
        <v>95</v>
      </c>
      <c r="B42" s="738">
        <f t="shared" si="4"/>
        <v>0</v>
      </c>
      <c r="C42" s="727"/>
      <c r="D42" s="727"/>
      <c r="E42" s="728"/>
      <c r="F42" s="735"/>
      <c r="G42" s="727"/>
      <c r="H42" s="728"/>
      <c r="I42" s="729">
        <f t="shared" si="5"/>
        <v>0</v>
      </c>
      <c r="J42" s="832"/>
    </row>
    <row r="43" spans="1:10" ht="12.75">
      <c r="A43" s="713" t="s">
        <v>85</v>
      </c>
      <c r="B43" s="739">
        <f t="shared" si="4"/>
        <v>91000000</v>
      </c>
      <c r="C43" s="728">
        <v>91000000</v>
      </c>
      <c r="D43" s="728"/>
      <c r="E43" s="728"/>
      <c r="F43" s="736"/>
      <c r="G43" s="728"/>
      <c r="H43" s="728"/>
      <c r="I43" s="729">
        <f t="shared" si="5"/>
        <v>91000000</v>
      </c>
      <c r="J43" s="832"/>
    </row>
    <row r="44" spans="1:10" ht="12.75">
      <c r="A44" s="713" t="s">
        <v>96</v>
      </c>
      <c r="B44" s="739">
        <f t="shared" si="4"/>
        <v>0</v>
      </c>
      <c r="C44" s="728"/>
      <c r="D44" s="728"/>
      <c r="E44" s="728"/>
      <c r="F44" s="736"/>
      <c r="G44" s="728"/>
      <c r="H44" s="728"/>
      <c r="I44" s="729">
        <f t="shared" si="5"/>
        <v>0</v>
      </c>
      <c r="J44" s="832"/>
    </row>
    <row r="45" spans="1:10" ht="12.75">
      <c r="A45" s="713" t="s">
        <v>86</v>
      </c>
      <c r="B45" s="739">
        <f t="shared" si="4"/>
        <v>0</v>
      </c>
      <c r="C45" s="728"/>
      <c r="D45" s="728"/>
      <c r="E45" s="728"/>
      <c r="F45" s="736"/>
      <c r="G45" s="728"/>
      <c r="H45" s="728"/>
      <c r="I45" s="729">
        <f t="shared" si="5"/>
        <v>0</v>
      </c>
      <c r="J45" s="832"/>
    </row>
    <row r="46" spans="1:10" ht="13.5" thickBot="1">
      <c r="A46" s="713" t="s">
        <v>87</v>
      </c>
      <c r="B46" s="739">
        <f t="shared" si="4"/>
        <v>0</v>
      </c>
      <c r="C46" s="728"/>
      <c r="D46" s="728"/>
      <c r="E46" s="728"/>
      <c r="F46" s="736"/>
      <c r="G46" s="728"/>
      <c r="H46" s="728"/>
      <c r="I46" s="729">
        <f t="shared" si="5"/>
        <v>0</v>
      </c>
      <c r="J46" s="832"/>
    </row>
    <row r="47" spans="1:10" ht="13.5" thickBot="1">
      <c r="A47" s="714" t="s">
        <v>88</v>
      </c>
      <c r="B47" s="740">
        <f aca="true" t="shared" si="6" ref="B47:I47">B41+SUM(B43:B46)</f>
        <v>91000000</v>
      </c>
      <c r="C47" s="730">
        <f t="shared" si="6"/>
        <v>91000000</v>
      </c>
      <c r="D47" s="730">
        <f t="shared" si="6"/>
        <v>0</v>
      </c>
      <c r="E47" s="730">
        <f t="shared" si="6"/>
        <v>0</v>
      </c>
      <c r="F47" s="730">
        <f t="shared" si="6"/>
        <v>0</v>
      </c>
      <c r="G47" s="730">
        <f t="shared" si="6"/>
        <v>0</v>
      </c>
      <c r="H47" s="730">
        <f t="shared" si="6"/>
        <v>0</v>
      </c>
      <c r="I47" s="731">
        <f t="shared" si="6"/>
        <v>91000000</v>
      </c>
      <c r="J47" s="832"/>
    </row>
    <row r="48" spans="1:10" ht="12.75">
      <c r="A48" s="715" t="s">
        <v>91</v>
      </c>
      <c r="B48" s="737">
        <f>C48+E48+H48</f>
        <v>0</v>
      </c>
      <c r="C48" s="724"/>
      <c r="D48" s="724"/>
      <c r="E48" s="724"/>
      <c r="F48" s="724"/>
      <c r="G48" s="724"/>
      <c r="H48" s="724"/>
      <c r="I48" s="726">
        <f>C48+F48</f>
        <v>0</v>
      </c>
      <c r="J48" s="832"/>
    </row>
    <row r="49" spans="1:10" ht="12.75">
      <c r="A49" s="716" t="s">
        <v>92</v>
      </c>
      <c r="B49" s="739">
        <f>C49+E49+H49</f>
        <v>91000000</v>
      </c>
      <c r="C49" s="728"/>
      <c r="D49" s="728">
        <v>91000000</v>
      </c>
      <c r="E49" s="728">
        <v>91000000</v>
      </c>
      <c r="F49" s="728">
        <v>3235800</v>
      </c>
      <c r="G49" s="728"/>
      <c r="H49" s="728"/>
      <c r="I49" s="729">
        <f>C49+F49</f>
        <v>3235800</v>
      </c>
      <c r="J49" s="832"/>
    </row>
    <row r="50" spans="1:10" ht="12.75">
      <c r="A50" s="716" t="s">
        <v>93</v>
      </c>
      <c r="B50" s="739">
        <f>C50+E50+H50</f>
        <v>0</v>
      </c>
      <c r="C50" s="728"/>
      <c r="D50" s="728"/>
      <c r="E50" s="728"/>
      <c r="F50" s="728"/>
      <c r="G50" s="728"/>
      <c r="H50" s="728"/>
      <c r="I50" s="729">
        <f>C50+F50</f>
        <v>0</v>
      </c>
      <c r="J50" s="832"/>
    </row>
    <row r="51" spans="1:10" ht="12.75">
      <c r="A51" s="716" t="s">
        <v>94</v>
      </c>
      <c r="B51" s="739">
        <f>C51+E51+H51</f>
        <v>0</v>
      </c>
      <c r="C51" s="728"/>
      <c r="D51" s="728"/>
      <c r="E51" s="728"/>
      <c r="F51" s="728"/>
      <c r="G51" s="728"/>
      <c r="H51" s="728"/>
      <c r="I51" s="729">
        <f>C51+F51</f>
        <v>0</v>
      </c>
      <c r="J51" s="832"/>
    </row>
    <row r="52" spans="1:10" ht="13.5" thickBot="1">
      <c r="A52" s="717"/>
      <c r="B52" s="741">
        <f>C52+E52+H52</f>
        <v>0</v>
      </c>
      <c r="C52" s="732"/>
      <c r="D52" s="732"/>
      <c r="E52" s="728"/>
      <c r="F52" s="732"/>
      <c r="G52" s="732"/>
      <c r="H52" s="728"/>
      <c r="I52" s="733">
        <f>C52+F52</f>
        <v>0</v>
      </c>
      <c r="J52" s="832"/>
    </row>
    <row r="53" spans="1:10" ht="13.5" thickBot="1">
      <c r="A53" s="718" t="s">
        <v>74</v>
      </c>
      <c r="B53" s="740">
        <f aca="true" t="shared" si="7" ref="B53:I53">SUM(B48:B52)</f>
        <v>91000000</v>
      </c>
      <c r="C53" s="730">
        <f t="shared" si="7"/>
        <v>0</v>
      </c>
      <c r="D53" s="730">
        <f t="shared" si="7"/>
        <v>91000000</v>
      </c>
      <c r="E53" s="730">
        <f t="shared" si="7"/>
        <v>91000000</v>
      </c>
      <c r="F53" s="730">
        <f t="shared" si="7"/>
        <v>3235800</v>
      </c>
      <c r="G53" s="730">
        <f t="shared" si="7"/>
        <v>0</v>
      </c>
      <c r="H53" s="730">
        <f t="shared" si="7"/>
        <v>0</v>
      </c>
      <c r="I53" s="731">
        <f t="shared" si="7"/>
        <v>3235800</v>
      </c>
      <c r="J53" s="832"/>
    </row>
    <row r="54" ht="12.75">
      <c r="J54" s="832"/>
    </row>
    <row r="55" ht="12.75">
      <c r="J55" s="832"/>
    </row>
    <row r="56" spans="1:10" ht="14.25">
      <c r="A56" s="849" t="s">
        <v>856</v>
      </c>
      <c r="B56" s="849"/>
      <c r="C56" s="850" t="s">
        <v>967</v>
      </c>
      <c r="D56" s="851"/>
      <c r="E56" s="851"/>
      <c r="F56" s="851"/>
      <c r="G56" s="851"/>
      <c r="H56" s="851"/>
      <c r="I56" s="851"/>
      <c r="J56" s="832"/>
    </row>
    <row r="57" spans="1:10" ht="15.75" thickBot="1">
      <c r="A57" s="703"/>
      <c r="B57" s="703"/>
      <c r="C57" s="703"/>
      <c r="D57" s="703"/>
      <c r="E57" s="703"/>
      <c r="F57" s="703"/>
      <c r="G57" s="703"/>
      <c r="H57" s="852" t="s">
        <v>838</v>
      </c>
      <c r="I57" s="852"/>
      <c r="J57" s="832"/>
    </row>
    <row r="58" spans="1:10" ht="13.5" customHeight="1" thickBot="1">
      <c r="A58" s="853" t="s">
        <v>83</v>
      </c>
      <c r="B58" s="856" t="s">
        <v>445</v>
      </c>
      <c r="C58" s="857"/>
      <c r="D58" s="857"/>
      <c r="E58" s="857"/>
      <c r="F58" s="858"/>
      <c r="G58" s="858"/>
      <c r="H58" s="858"/>
      <c r="I58" s="859"/>
      <c r="J58" s="832"/>
    </row>
    <row r="59" spans="1:10" ht="13.5" customHeight="1" thickBot="1">
      <c r="A59" s="854"/>
      <c r="B59" s="860" t="str">
        <f>B37</f>
        <v>Módosítás utáni összes forrás, kiadás</v>
      </c>
      <c r="C59" s="863" t="s">
        <v>854</v>
      </c>
      <c r="D59" s="864"/>
      <c r="E59" s="864"/>
      <c r="F59" s="864"/>
      <c r="G59" s="864"/>
      <c r="H59" s="864"/>
      <c r="I59" s="865"/>
      <c r="J59" s="832"/>
    </row>
    <row r="60" spans="1:10" ht="48.75" customHeight="1" thickBot="1">
      <c r="A60" s="854"/>
      <c r="B60" s="861"/>
      <c r="C60" s="866" t="str">
        <f>CONCATENATE(Z_TARTALOMJEGYZÉK!$A$1,".  előtti forrás, kiadás")</f>
        <v>2020.  előtti forrás, kiadás</v>
      </c>
      <c r="D60" s="704" t="s">
        <v>447</v>
      </c>
      <c r="E60" s="704" t="s">
        <v>448</v>
      </c>
      <c r="F60" s="705" t="str">
        <f>CONCATENATE("Összes teljesítés ",Z_TARTALOMJEGYZÉK!$A$1,". XII.31 -ig")</f>
        <v>Összes teljesítés 2020. XII.31 -ig</v>
      </c>
      <c r="G60" s="705" t="s">
        <v>447</v>
      </c>
      <c r="H60" s="705" t="s">
        <v>448</v>
      </c>
      <c r="I60" s="705" t="str">
        <f>CONCATENATE("Összes teljesítés ",Z_TARTALOMJEGYZÉK!$A$1,". XII.31 -ig")</f>
        <v>Összes teljesítés 2020. XII.31 -ig</v>
      </c>
      <c r="J60" s="832"/>
    </row>
    <row r="61" spans="1:10" ht="13.5" thickBot="1">
      <c r="A61" s="855"/>
      <c r="B61" s="862"/>
      <c r="C61" s="867"/>
      <c r="D61" s="868" t="str">
        <f>CONCATENATE(Z_TARTALOMJEGYZÉK!$A$1,". évi")</f>
        <v>2020. évi</v>
      </c>
      <c r="E61" s="869"/>
      <c r="F61" s="870"/>
      <c r="G61" s="868" t="str">
        <f>CONCATENATE(Z_TARTALOMJEGYZÉK!$A$1,". után")</f>
        <v>2020. után</v>
      </c>
      <c r="H61" s="871"/>
      <c r="I61" s="870"/>
      <c r="J61" s="832"/>
    </row>
    <row r="62" spans="1:10" ht="13.5" thickBot="1">
      <c r="A62" s="706" t="s">
        <v>386</v>
      </c>
      <c r="B62" s="707" t="s">
        <v>859</v>
      </c>
      <c r="C62" s="708" t="s">
        <v>388</v>
      </c>
      <c r="D62" s="709" t="s">
        <v>390</v>
      </c>
      <c r="E62" s="709" t="s">
        <v>389</v>
      </c>
      <c r="F62" s="708" t="s">
        <v>391</v>
      </c>
      <c r="G62" s="708" t="s">
        <v>392</v>
      </c>
      <c r="H62" s="708" t="s">
        <v>393</v>
      </c>
      <c r="I62" s="710" t="s">
        <v>858</v>
      </c>
      <c r="J62" s="832"/>
    </row>
    <row r="63" spans="1:10" ht="12.75">
      <c r="A63" s="711" t="s">
        <v>84</v>
      </c>
      <c r="B63" s="737">
        <f aca="true" t="shared" si="8" ref="B63:B68">C63+E63+H63</f>
        <v>0</v>
      </c>
      <c r="C63" s="723"/>
      <c r="D63" s="724"/>
      <c r="E63" s="724"/>
      <c r="F63" s="734"/>
      <c r="G63" s="724"/>
      <c r="H63" s="725"/>
      <c r="I63" s="726">
        <f aca="true" t="shared" si="9" ref="I63:I68">C63+F63</f>
        <v>0</v>
      </c>
      <c r="J63" s="832"/>
    </row>
    <row r="64" spans="1:10" ht="12.75">
      <c r="A64" s="712" t="s">
        <v>95</v>
      </c>
      <c r="B64" s="738">
        <f t="shared" si="8"/>
        <v>0</v>
      </c>
      <c r="C64" s="727"/>
      <c r="D64" s="727"/>
      <c r="E64" s="728"/>
      <c r="F64" s="735"/>
      <c r="G64" s="727"/>
      <c r="H64" s="728"/>
      <c r="I64" s="729">
        <f t="shared" si="9"/>
        <v>0</v>
      </c>
      <c r="J64" s="832"/>
    </row>
    <row r="65" spans="1:10" ht="12.75">
      <c r="A65" s="713" t="s">
        <v>85</v>
      </c>
      <c r="B65" s="739">
        <f t="shared" si="8"/>
        <v>23789351</v>
      </c>
      <c r="C65" s="728">
        <v>23789351</v>
      </c>
      <c r="D65" s="728"/>
      <c r="E65" s="728"/>
      <c r="F65" s="736"/>
      <c r="G65" s="728"/>
      <c r="H65" s="728"/>
      <c r="I65" s="729">
        <f t="shared" si="9"/>
        <v>23789351</v>
      </c>
      <c r="J65" s="832"/>
    </row>
    <row r="66" spans="1:10" ht="12.75">
      <c r="A66" s="713" t="s">
        <v>96</v>
      </c>
      <c r="B66" s="739">
        <f t="shared" si="8"/>
        <v>0</v>
      </c>
      <c r="C66" s="728"/>
      <c r="D66" s="728"/>
      <c r="E66" s="728"/>
      <c r="F66" s="736"/>
      <c r="G66" s="728"/>
      <c r="H66" s="728"/>
      <c r="I66" s="729">
        <f t="shared" si="9"/>
        <v>0</v>
      </c>
      <c r="J66" s="832"/>
    </row>
    <row r="67" spans="1:10" ht="12.75">
      <c r="A67" s="713" t="s">
        <v>86</v>
      </c>
      <c r="B67" s="739">
        <f t="shared" si="8"/>
        <v>0</v>
      </c>
      <c r="C67" s="728"/>
      <c r="D67" s="728"/>
      <c r="E67" s="728"/>
      <c r="F67" s="736"/>
      <c r="G67" s="728"/>
      <c r="H67" s="728"/>
      <c r="I67" s="729">
        <f t="shared" si="9"/>
        <v>0</v>
      </c>
      <c r="J67" s="832"/>
    </row>
    <row r="68" spans="1:10" ht="13.5" thickBot="1">
      <c r="A68" s="713" t="s">
        <v>87</v>
      </c>
      <c r="B68" s="739">
        <f t="shared" si="8"/>
        <v>0</v>
      </c>
      <c r="C68" s="728"/>
      <c r="D68" s="728"/>
      <c r="E68" s="728"/>
      <c r="F68" s="736"/>
      <c r="G68" s="728"/>
      <c r="H68" s="728"/>
      <c r="I68" s="729">
        <f t="shared" si="9"/>
        <v>0</v>
      </c>
      <c r="J68" s="832"/>
    </row>
    <row r="69" spans="1:10" ht="13.5" thickBot="1">
      <c r="A69" s="714" t="s">
        <v>88</v>
      </c>
      <c r="B69" s="740">
        <f aca="true" t="shared" si="10" ref="B69:I69">B63+SUM(B65:B68)</f>
        <v>23789351</v>
      </c>
      <c r="C69" s="730">
        <f t="shared" si="10"/>
        <v>23789351</v>
      </c>
      <c r="D69" s="730">
        <f t="shared" si="10"/>
        <v>0</v>
      </c>
      <c r="E69" s="730">
        <f t="shared" si="10"/>
        <v>0</v>
      </c>
      <c r="F69" s="730">
        <f t="shared" si="10"/>
        <v>0</v>
      </c>
      <c r="G69" s="730">
        <f t="shared" si="10"/>
        <v>0</v>
      </c>
      <c r="H69" s="730">
        <f t="shared" si="10"/>
        <v>0</v>
      </c>
      <c r="I69" s="731">
        <f t="shared" si="10"/>
        <v>23789351</v>
      </c>
      <c r="J69" s="832"/>
    </row>
    <row r="70" spans="1:10" ht="12.75">
      <c r="A70" s="715" t="s">
        <v>91</v>
      </c>
      <c r="B70" s="737">
        <f>C70+E70+H70</f>
        <v>0</v>
      </c>
      <c r="C70" s="724"/>
      <c r="D70" s="724"/>
      <c r="E70" s="724"/>
      <c r="F70" s="724"/>
      <c r="G70" s="724"/>
      <c r="H70" s="724"/>
      <c r="I70" s="726">
        <f>C70+F70</f>
        <v>0</v>
      </c>
      <c r="J70" s="832"/>
    </row>
    <row r="71" spans="1:10" ht="12.75">
      <c r="A71" s="716" t="s">
        <v>92</v>
      </c>
      <c r="B71" s="739">
        <f>C71+E71+H71</f>
        <v>23789351</v>
      </c>
      <c r="C71" s="728"/>
      <c r="D71" s="728"/>
      <c r="E71" s="728">
        <v>23789351</v>
      </c>
      <c r="F71" s="728"/>
      <c r="G71" s="728"/>
      <c r="H71" s="728"/>
      <c r="I71" s="729">
        <f>C71+F71</f>
        <v>0</v>
      </c>
      <c r="J71" s="832"/>
    </row>
    <row r="72" spans="1:10" ht="12.75">
      <c r="A72" s="716" t="s">
        <v>93</v>
      </c>
      <c r="B72" s="739">
        <f>C72+E72+H72</f>
        <v>0</v>
      </c>
      <c r="C72" s="728"/>
      <c r="D72" s="728"/>
      <c r="E72" s="728"/>
      <c r="F72" s="728"/>
      <c r="G72" s="728"/>
      <c r="H72" s="728"/>
      <c r="I72" s="729">
        <f>C72+F72</f>
        <v>0</v>
      </c>
      <c r="J72" s="832"/>
    </row>
    <row r="73" spans="1:10" ht="12.75">
      <c r="A73" s="716" t="s">
        <v>94</v>
      </c>
      <c r="B73" s="739">
        <f>C73+E73+H73</f>
        <v>0</v>
      </c>
      <c r="C73" s="728"/>
      <c r="D73" s="728"/>
      <c r="E73" s="728"/>
      <c r="F73" s="728"/>
      <c r="G73" s="728"/>
      <c r="H73" s="728"/>
      <c r="I73" s="729">
        <f>C73+F73</f>
        <v>0</v>
      </c>
      <c r="J73" s="832"/>
    </row>
    <row r="74" spans="1:10" ht="13.5" thickBot="1">
      <c r="A74" s="717"/>
      <c r="B74" s="741">
        <f>C74+E74+H74</f>
        <v>0</v>
      </c>
      <c r="C74" s="732"/>
      <c r="D74" s="732"/>
      <c r="E74" s="728"/>
      <c r="F74" s="732"/>
      <c r="G74" s="732"/>
      <c r="H74" s="728"/>
      <c r="I74" s="733">
        <f>C74+F74</f>
        <v>0</v>
      </c>
      <c r="J74" s="832"/>
    </row>
    <row r="75" spans="1:10" ht="13.5" thickBot="1">
      <c r="A75" s="718" t="s">
        <v>74</v>
      </c>
      <c r="B75" s="740">
        <f aca="true" t="shared" si="11" ref="B75:I75">SUM(B70:B74)</f>
        <v>23789351</v>
      </c>
      <c r="C75" s="730">
        <f t="shared" si="11"/>
        <v>0</v>
      </c>
      <c r="D75" s="730">
        <f t="shared" si="11"/>
        <v>0</v>
      </c>
      <c r="E75" s="730">
        <f t="shared" si="11"/>
        <v>23789351</v>
      </c>
      <c r="F75" s="730">
        <f t="shared" si="11"/>
        <v>0</v>
      </c>
      <c r="G75" s="730">
        <f t="shared" si="11"/>
        <v>0</v>
      </c>
      <c r="H75" s="730">
        <f t="shared" si="11"/>
        <v>0</v>
      </c>
      <c r="I75" s="731">
        <f t="shared" si="11"/>
        <v>0</v>
      </c>
      <c r="J75" s="832"/>
    </row>
    <row r="76" ht="12.75">
      <c r="J76" s="832"/>
    </row>
    <row r="77" ht="12.75">
      <c r="J77" s="832"/>
    </row>
    <row r="78" spans="1:10" ht="14.25">
      <c r="A78" s="849" t="s">
        <v>856</v>
      </c>
      <c r="B78" s="849"/>
      <c r="C78" s="850" t="s">
        <v>968</v>
      </c>
      <c r="D78" s="851"/>
      <c r="E78" s="851"/>
      <c r="F78" s="851"/>
      <c r="G78" s="851"/>
      <c r="H78" s="851"/>
      <c r="I78" s="851"/>
      <c r="J78" s="832"/>
    </row>
    <row r="79" spans="1:10" ht="15.75" thickBot="1">
      <c r="A79" s="703"/>
      <c r="B79" s="703"/>
      <c r="C79" s="703"/>
      <c r="D79" s="703"/>
      <c r="E79" s="703"/>
      <c r="F79" s="703"/>
      <c r="G79" s="703"/>
      <c r="H79" s="852" t="s">
        <v>838</v>
      </c>
      <c r="I79" s="852"/>
      <c r="J79" s="832"/>
    </row>
    <row r="80" spans="1:10" ht="13.5" customHeight="1" thickBot="1">
      <c r="A80" s="853" t="s">
        <v>83</v>
      </c>
      <c r="B80" s="856" t="s">
        <v>445</v>
      </c>
      <c r="C80" s="857"/>
      <c r="D80" s="857"/>
      <c r="E80" s="857"/>
      <c r="F80" s="858"/>
      <c r="G80" s="858"/>
      <c r="H80" s="858"/>
      <c r="I80" s="859"/>
      <c r="J80" s="832"/>
    </row>
    <row r="81" spans="1:10" ht="13.5" customHeight="1" thickBot="1">
      <c r="A81" s="854"/>
      <c r="B81" s="860" t="str">
        <f>B59</f>
        <v>Módosítás utáni összes forrás, kiadás</v>
      </c>
      <c r="C81" s="863" t="s">
        <v>854</v>
      </c>
      <c r="D81" s="864"/>
      <c r="E81" s="864"/>
      <c r="F81" s="864"/>
      <c r="G81" s="864"/>
      <c r="H81" s="864"/>
      <c r="I81" s="865"/>
      <c r="J81" s="832"/>
    </row>
    <row r="82" spans="1:10" ht="48.75" thickBot="1">
      <c r="A82" s="854"/>
      <c r="B82" s="861"/>
      <c r="C82" s="866" t="str">
        <f>CONCATENATE(Z_TARTALOMJEGYZÉK!$A$1,".  előtti forrás, kiadás")</f>
        <v>2020.  előtti forrás, kiadás</v>
      </c>
      <c r="D82" s="704" t="s">
        <v>447</v>
      </c>
      <c r="E82" s="704" t="s">
        <v>448</v>
      </c>
      <c r="F82" s="705" t="str">
        <f>CONCATENATE("Összes teljesítés ",Z_TARTALOMJEGYZÉK!$A$1,". XII.31 -ig")</f>
        <v>Összes teljesítés 2020. XII.31 -ig</v>
      </c>
      <c r="G82" s="705" t="s">
        <v>447</v>
      </c>
      <c r="H82" s="705" t="s">
        <v>448</v>
      </c>
      <c r="I82" s="705" t="str">
        <f>CONCATENATE("Összes teljesítés ",Z_TARTALOMJEGYZÉK!$A$1,". XII.31 -ig")</f>
        <v>Összes teljesítés 2020. XII.31 -ig</v>
      </c>
      <c r="J82" s="832"/>
    </row>
    <row r="83" spans="1:10" ht="13.5" thickBot="1">
      <c r="A83" s="855"/>
      <c r="B83" s="862"/>
      <c r="C83" s="867"/>
      <c r="D83" s="868" t="str">
        <f>CONCATENATE(Z_TARTALOMJEGYZÉK!$A$1,". évi")</f>
        <v>2020. évi</v>
      </c>
      <c r="E83" s="869"/>
      <c r="F83" s="870"/>
      <c r="G83" s="868" t="str">
        <f>CONCATENATE(Z_TARTALOMJEGYZÉK!$A$1,". után")</f>
        <v>2020. után</v>
      </c>
      <c r="H83" s="871"/>
      <c r="I83" s="870"/>
      <c r="J83" s="832"/>
    </row>
    <row r="84" spans="1:10" ht="13.5" thickBot="1">
      <c r="A84" s="706" t="s">
        <v>386</v>
      </c>
      <c r="B84" s="707" t="s">
        <v>859</v>
      </c>
      <c r="C84" s="708" t="s">
        <v>388</v>
      </c>
      <c r="D84" s="709" t="s">
        <v>390</v>
      </c>
      <c r="E84" s="709" t="s">
        <v>389</v>
      </c>
      <c r="F84" s="708" t="s">
        <v>391</v>
      </c>
      <c r="G84" s="708" t="s">
        <v>392</v>
      </c>
      <c r="H84" s="708" t="s">
        <v>393</v>
      </c>
      <c r="I84" s="710" t="s">
        <v>858</v>
      </c>
      <c r="J84" s="832"/>
    </row>
    <row r="85" spans="1:10" ht="12.75">
      <c r="A85" s="711" t="s">
        <v>84</v>
      </c>
      <c r="B85" s="737">
        <f aca="true" t="shared" si="12" ref="B85:B90">C85+E85+H85</f>
        <v>0</v>
      </c>
      <c r="C85" s="723"/>
      <c r="D85" s="724"/>
      <c r="E85" s="724"/>
      <c r="F85" s="734"/>
      <c r="G85" s="724"/>
      <c r="H85" s="725"/>
      <c r="I85" s="726">
        <f aca="true" t="shared" si="13" ref="I85:I90">C85+F85</f>
        <v>0</v>
      </c>
      <c r="J85" s="832"/>
    </row>
    <row r="86" spans="1:10" ht="12.75">
      <c r="A86" s="712" t="s">
        <v>95</v>
      </c>
      <c r="B86" s="738">
        <f t="shared" si="12"/>
        <v>0</v>
      </c>
      <c r="C86" s="727"/>
      <c r="D86" s="727"/>
      <c r="E86" s="728"/>
      <c r="F86" s="735"/>
      <c r="G86" s="727"/>
      <c r="H86" s="728"/>
      <c r="I86" s="729">
        <f t="shared" si="13"/>
        <v>0</v>
      </c>
      <c r="J86" s="832"/>
    </row>
    <row r="87" spans="1:10" ht="12.75">
      <c r="A87" s="713" t="s">
        <v>85</v>
      </c>
      <c r="B87" s="739">
        <f t="shared" si="12"/>
        <v>73819687</v>
      </c>
      <c r="C87" s="728">
        <v>73819687</v>
      </c>
      <c r="D87" s="728"/>
      <c r="E87" s="728"/>
      <c r="F87" s="736"/>
      <c r="G87" s="728"/>
      <c r="H87" s="728"/>
      <c r="I87" s="729">
        <f t="shared" si="13"/>
        <v>73819687</v>
      </c>
      <c r="J87" s="832"/>
    </row>
    <row r="88" spans="1:10" ht="12.75">
      <c r="A88" s="713" t="s">
        <v>96</v>
      </c>
      <c r="B88" s="739">
        <f t="shared" si="12"/>
        <v>13027003</v>
      </c>
      <c r="C88" s="728">
        <v>13027003</v>
      </c>
      <c r="D88" s="728"/>
      <c r="E88" s="728"/>
      <c r="F88" s="736"/>
      <c r="G88" s="728"/>
      <c r="H88" s="728"/>
      <c r="I88" s="729">
        <f t="shared" si="13"/>
        <v>13027003</v>
      </c>
      <c r="J88" s="832"/>
    </row>
    <row r="89" spans="1:10" ht="12.75">
      <c r="A89" s="713" t="s">
        <v>86</v>
      </c>
      <c r="B89" s="739">
        <f t="shared" si="12"/>
        <v>0</v>
      </c>
      <c r="C89" s="728"/>
      <c r="D89" s="728"/>
      <c r="E89" s="728"/>
      <c r="F89" s="736"/>
      <c r="G89" s="728"/>
      <c r="H89" s="728"/>
      <c r="I89" s="729">
        <f t="shared" si="13"/>
        <v>0</v>
      </c>
      <c r="J89" s="832"/>
    </row>
    <row r="90" spans="1:10" ht="13.5" thickBot="1">
      <c r="A90" s="713" t="s">
        <v>87</v>
      </c>
      <c r="B90" s="739">
        <f t="shared" si="12"/>
        <v>0</v>
      </c>
      <c r="C90" s="728"/>
      <c r="D90" s="728"/>
      <c r="E90" s="728"/>
      <c r="F90" s="736"/>
      <c r="G90" s="728"/>
      <c r="H90" s="728"/>
      <c r="I90" s="729">
        <f t="shared" si="13"/>
        <v>0</v>
      </c>
      <c r="J90" s="832"/>
    </row>
    <row r="91" spans="1:10" ht="13.5" thickBot="1">
      <c r="A91" s="714" t="s">
        <v>88</v>
      </c>
      <c r="B91" s="740">
        <f aca="true" t="shared" si="14" ref="B91:I91">B85+SUM(B87:B90)</f>
        <v>86846690</v>
      </c>
      <c r="C91" s="730">
        <f t="shared" si="14"/>
        <v>86846690</v>
      </c>
      <c r="D91" s="730">
        <f t="shared" si="14"/>
        <v>0</v>
      </c>
      <c r="E91" s="730">
        <f t="shared" si="14"/>
        <v>0</v>
      </c>
      <c r="F91" s="730">
        <f t="shared" si="14"/>
        <v>0</v>
      </c>
      <c r="G91" s="730">
        <f t="shared" si="14"/>
        <v>0</v>
      </c>
      <c r="H91" s="730">
        <f t="shared" si="14"/>
        <v>0</v>
      </c>
      <c r="I91" s="731">
        <f t="shared" si="14"/>
        <v>86846690</v>
      </c>
      <c r="J91" s="832"/>
    </row>
    <row r="92" spans="1:10" ht="12.75">
      <c r="A92" s="715" t="s">
        <v>91</v>
      </c>
      <c r="B92" s="737">
        <f>C92+E92+H92</f>
        <v>0</v>
      </c>
      <c r="C92" s="724"/>
      <c r="D92" s="724"/>
      <c r="E92" s="724"/>
      <c r="F92" s="724"/>
      <c r="G92" s="724"/>
      <c r="H92" s="724"/>
      <c r="I92" s="726">
        <f>C92+F92</f>
        <v>0</v>
      </c>
      <c r="J92" s="832"/>
    </row>
    <row r="93" spans="1:10" ht="12.75">
      <c r="A93" s="716" t="s">
        <v>92</v>
      </c>
      <c r="B93" s="739">
        <f>C93+E93+H93</f>
        <v>80474111</v>
      </c>
      <c r="C93" s="728">
        <v>72385826</v>
      </c>
      <c r="D93" s="728">
        <v>14460864</v>
      </c>
      <c r="E93" s="728">
        <v>8088285</v>
      </c>
      <c r="F93" s="728">
        <v>8088285</v>
      </c>
      <c r="G93" s="728"/>
      <c r="H93" s="728"/>
      <c r="I93" s="729">
        <f>C93+F93</f>
        <v>80474111</v>
      </c>
      <c r="J93" s="832"/>
    </row>
    <row r="94" spans="1:10" ht="12.75">
      <c r="A94" s="716" t="s">
        <v>93</v>
      </c>
      <c r="B94" s="739">
        <f>C94+E94+H94</f>
        <v>0</v>
      </c>
      <c r="C94" s="728"/>
      <c r="D94" s="728"/>
      <c r="E94" s="728"/>
      <c r="F94" s="728"/>
      <c r="G94" s="728"/>
      <c r="H94" s="728"/>
      <c r="I94" s="729">
        <f>C94+F94</f>
        <v>0</v>
      </c>
      <c r="J94" s="832"/>
    </row>
    <row r="95" spans="1:10" ht="12.75">
      <c r="A95" s="716" t="s">
        <v>94</v>
      </c>
      <c r="B95" s="739">
        <f>C95+E95+H95</f>
        <v>6372579</v>
      </c>
      <c r="C95" s="728"/>
      <c r="D95" s="728"/>
      <c r="E95" s="728">
        <v>6372579</v>
      </c>
      <c r="F95" s="728">
        <v>6372579</v>
      </c>
      <c r="G95" s="728"/>
      <c r="H95" s="728"/>
      <c r="I95" s="729">
        <f>C95+F95</f>
        <v>6372579</v>
      </c>
      <c r="J95" s="832"/>
    </row>
    <row r="96" spans="1:10" ht="13.5" thickBot="1">
      <c r="A96" s="717" t="s">
        <v>969</v>
      </c>
      <c r="B96" s="741">
        <f>C96+E96+H96</f>
        <v>0</v>
      </c>
      <c r="C96" s="732"/>
      <c r="D96" s="732"/>
      <c r="E96" s="728"/>
      <c r="F96" s="732"/>
      <c r="G96" s="732"/>
      <c r="H96" s="728"/>
      <c r="I96" s="733">
        <f>C96+F96</f>
        <v>0</v>
      </c>
      <c r="J96" s="832"/>
    </row>
    <row r="97" spans="1:10" ht="13.5" thickBot="1">
      <c r="A97" s="718" t="s">
        <v>74</v>
      </c>
      <c r="B97" s="740">
        <f aca="true" t="shared" si="15" ref="B97:I97">SUM(B92:B96)</f>
        <v>86846690</v>
      </c>
      <c r="C97" s="730">
        <f t="shared" si="15"/>
        <v>72385826</v>
      </c>
      <c r="D97" s="730">
        <f t="shared" si="15"/>
        <v>14460864</v>
      </c>
      <c r="E97" s="730">
        <f t="shared" si="15"/>
        <v>14460864</v>
      </c>
      <c r="F97" s="730">
        <f t="shared" si="15"/>
        <v>14460864</v>
      </c>
      <c r="G97" s="730">
        <f t="shared" si="15"/>
        <v>0</v>
      </c>
      <c r="H97" s="730">
        <f t="shared" si="15"/>
        <v>0</v>
      </c>
      <c r="I97" s="731">
        <f t="shared" si="15"/>
        <v>86846690</v>
      </c>
      <c r="J97" s="832"/>
    </row>
    <row r="98" ht="12.75">
      <c r="J98" s="832"/>
    </row>
    <row r="99" ht="12.75">
      <c r="J99" s="832"/>
    </row>
    <row r="100" spans="1:10" ht="14.25">
      <c r="A100" s="849" t="s">
        <v>856</v>
      </c>
      <c r="B100" s="849"/>
      <c r="C100" s="850" t="s">
        <v>970</v>
      </c>
      <c r="D100" s="851"/>
      <c r="E100" s="851"/>
      <c r="F100" s="851"/>
      <c r="G100" s="851"/>
      <c r="H100" s="851"/>
      <c r="I100" s="851"/>
      <c r="J100" s="832"/>
    </row>
    <row r="101" spans="1:10" ht="15.75" thickBot="1">
      <c r="A101" s="703"/>
      <c r="B101" s="703"/>
      <c r="C101" s="703"/>
      <c r="D101" s="703"/>
      <c r="E101" s="703"/>
      <c r="F101" s="703"/>
      <c r="G101" s="703"/>
      <c r="H101" s="852" t="s">
        <v>838</v>
      </c>
      <c r="I101" s="852"/>
      <c r="J101" s="832"/>
    </row>
    <row r="102" spans="1:10" ht="13.5" customHeight="1" thickBot="1">
      <c r="A102" s="853" t="s">
        <v>83</v>
      </c>
      <c r="B102" s="856" t="s">
        <v>445</v>
      </c>
      <c r="C102" s="857"/>
      <c r="D102" s="857"/>
      <c r="E102" s="857"/>
      <c r="F102" s="858"/>
      <c r="G102" s="858"/>
      <c r="H102" s="858"/>
      <c r="I102" s="859"/>
      <c r="J102" s="832"/>
    </row>
    <row r="103" spans="1:10" ht="13.5" customHeight="1" thickBot="1">
      <c r="A103" s="854"/>
      <c r="B103" s="860" t="str">
        <f>B81</f>
        <v>Módosítás utáni összes forrás, kiadás</v>
      </c>
      <c r="C103" s="863" t="s">
        <v>854</v>
      </c>
      <c r="D103" s="864"/>
      <c r="E103" s="864"/>
      <c r="F103" s="864"/>
      <c r="G103" s="864"/>
      <c r="H103" s="864"/>
      <c r="I103" s="865"/>
      <c r="J103" s="832"/>
    </row>
    <row r="104" spans="1:10" ht="48.75" customHeight="1" thickBot="1">
      <c r="A104" s="854"/>
      <c r="B104" s="861"/>
      <c r="C104" s="866" t="str">
        <f>CONCATENATE(Z_TARTALOMJEGYZÉK!$A$1,".  előtti forrás, kiadás")</f>
        <v>2020.  előtti forrás, kiadás</v>
      </c>
      <c r="D104" s="704" t="s">
        <v>447</v>
      </c>
      <c r="E104" s="704" t="s">
        <v>448</v>
      </c>
      <c r="F104" s="705" t="str">
        <f>CONCATENATE("Összes teljesítés ",Z_TARTALOMJEGYZÉK!$A$1,". XII.31 -ig")</f>
        <v>Összes teljesítés 2020. XII.31 -ig</v>
      </c>
      <c r="G104" s="705" t="s">
        <v>447</v>
      </c>
      <c r="H104" s="705" t="s">
        <v>448</v>
      </c>
      <c r="I104" s="705" t="str">
        <f>CONCATENATE("Összes teljesítés ",Z_TARTALOMJEGYZÉK!$A$1,". XII.31 -ig")</f>
        <v>Összes teljesítés 2020. XII.31 -ig</v>
      </c>
      <c r="J104" s="832"/>
    </row>
    <row r="105" spans="1:10" ht="13.5" thickBot="1">
      <c r="A105" s="855"/>
      <c r="B105" s="862"/>
      <c r="C105" s="867"/>
      <c r="D105" s="868" t="str">
        <f>CONCATENATE(Z_TARTALOMJEGYZÉK!$A$1,". évi")</f>
        <v>2020. évi</v>
      </c>
      <c r="E105" s="869"/>
      <c r="F105" s="870"/>
      <c r="G105" s="868" t="str">
        <f>CONCATENATE(Z_TARTALOMJEGYZÉK!$A$1,". után")</f>
        <v>2020. után</v>
      </c>
      <c r="H105" s="871"/>
      <c r="I105" s="870"/>
      <c r="J105" s="832"/>
    </row>
    <row r="106" spans="1:10" ht="13.5" thickBot="1">
      <c r="A106" s="706" t="s">
        <v>386</v>
      </c>
      <c r="B106" s="707" t="s">
        <v>859</v>
      </c>
      <c r="C106" s="708" t="s">
        <v>388</v>
      </c>
      <c r="D106" s="709" t="s">
        <v>390</v>
      </c>
      <c r="E106" s="709" t="s">
        <v>389</v>
      </c>
      <c r="F106" s="708" t="s">
        <v>391</v>
      </c>
      <c r="G106" s="708" t="s">
        <v>392</v>
      </c>
      <c r="H106" s="708" t="s">
        <v>393</v>
      </c>
      <c r="I106" s="710" t="s">
        <v>858</v>
      </c>
      <c r="J106" s="832"/>
    </row>
    <row r="107" spans="1:10" ht="12.75">
      <c r="A107" s="711" t="s">
        <v>84</v>
      </c>
      <c r="B107" s="737">
        <f aca="true" t="shared" si="16" ref="B107:B112">C107+E107+H107</f>
        <v>0</v>
      </c>
      <c r="C107" s="723"/>
      <c r="D107" s="724"/>
      <c r="E107" s="724"/>
      <c r="F107" s="734"/>
      <c r="G107" s="724"/>
      <c r="H107" s="725"/>
      <c r="I107" s="726">
        <f aca="true" t="shared" si="17" ref="I107:I112">C107+F107</f>
        <v>0</v>
      </c>
      <c r="J107" s="832"/>
    </row>
    <row r="108" spans="1:10" ht="12.75">
      <c r="A108" s="712" t="s">
        <v>95</v>
      </c>
      <c r="B108" s="738">
        <f t="shared" si="16"/>
        <v>0</v>
      </c>
      <c r="C108" s="727"/>
      <c r="D108" s="727"/>
      <c r="E108" s="728"/>
      <c r="F108" s="735"/>
      <c r="G108" s="727"/>
      <c r="H108" s="728"/>
      <c r="I108" s="729">
        <f t="shared" si="17"/>
        <v>0</v>
      </c>
      <c r="J108" s="832"/>
    </row>
    <row r="109" spans="1:10" ht="12.75">
      <c r="A109" s="713" t="s">
        <v>85</v>
      </c>
      <c r="B109" s="739">
        <f t="shared" si="16"/>
        <v>15317130</v>
      </c>
      <c r="C109" s="728">
        <v>15317130</v>
      </c>
      <c r="D109" s="728"/>
      <c r="E109" s="728"/>
      <c r="F109" s="736"/>
      <c r="G109" s="728"/>
      <c r="H109" s="728"/>
      <c r="I109" s="729">
        <f t="shared" si="17"/>
        <v>15317130</v>
      </c>
      <c r="J109" s="832"/>
    </row>
    <row r="110" spans="1:10" ht="12.75">
      <c r="A110" s="713" t="s">
        <v>96</v>
      </c>
      <c r="B110" s="739">
        <f t="shared" si="16"/>
        <v>2703023</v>
      </c>
      <c r="C110" s="728">
        <v>2703023</v>
      </c>
      <c r="D110" s="728"/>
      <c r="E110" s="728"/>
      <c r="F110" s="736"/>
      <c r="G110" s="728"/>
      <c r="H110" s="728"/>
      <c r="I110" s="729">
        <f t="shared" si="17"/>
        <v>2703023</v>
      </c>
      <c r="J110" s="832"/>
    </row>
    <row r="111" spans="1:10" ht="12.75">
      <c r="A111" s="713" t="s">
        <v>86</v>
      </c>
      <c r="B111" s="739">
        <f t="shared" si="16"/>
        <v>0</v>
      </c>
      <c r="C111" s="728"/>
      <c r="D111" s="728"/>
      <c r="E111" s="728"/>
      <c r="F111" s="736"/>
      <c r="G111" s="728"/>
      <c r="H111" s="728"/>
      <c r="I111" s="729">
        <f t="shared" si="17"/>
        <v>0</v>
      </c>
      <c r="J111" s="832"/>
    </row>
    <row r="112" spans="1:10" ht="13.5" thickBot="1">
      <c r="A112" s="713" t="s">
        <v>87</v>
      </c>
      <c r="B112" s="739">
        <f t="shared" si="16"/>
        <v>0</v>
      </c>
      <c r="C112" s="728"/>
      <c r="D112" s="728"/>
      <c r="E112" s="728"/>
      <c r="F112" s="736"/>
      <c r="G112" s="728"/>
      <c r="H112" s="728"/>
      <c r="I112" s="729">
        <f t="shared" si="17"/>
        <v>0</v>
      </c>
      <c r="J112" s="832"/>
    </row>
    <row r="113" spans="1:10" ht="13.5" thickBot="1">
      <c r="A113" s="714" t="s">
        <v>88</v>
      </c>
      <c r="B113" s="740">
        <f aca="true" t="shared" si="18" ref="B113:I113">B107+SUM(B109:B112)</f>
        <v>18020153</v>
      </c>
      <c r="C113" s="730">
        <f t="shared" si="18"/>
        <v>18020153</v>
      </c>
      <c r="D113" s="730">
        <f t="shared" si="18"/>
        <v>0</v>
      </c>
      <c r="E113" s="730">
        <f t="shared" si="18"/>
        <v>0</v>
      </c>
      <c r="F113" s="730">
        <f t="shared" si="18"/>
        <v>0</v>
      </c>
      <c r="G113" s="730">
        <f t="shared" si="18"/>
        <v>0</v>
      </c>
      <c r="H113" s="730">
        <f t="shared" si="18"/>
        <v>0</v>
      </c>
      <c r="I113" s="731">
        <f t="shared" si="18"/>
        <v>18020153</v>
      </c>
      <c r="J113" s="832"/>
    </row>
    <row r="114" spans="1:10" ht="12.75">
      <c r="A114" s="715" t="s">
        <v>91</v>
      </c>
      <c r="B114" s="737">
        <f>C114+E114+H114</f>
        <v>1395325</v>
      </c>
      <c r="C114" s="724">
        <v>898304</v>
      </c>
      <c r="D114" s="724">
        <v>497021</v>
      </c>
      <c r="E114" s="724">
        <v>497021</v>
      </c>
      <c r="F114" s="724">
        <v>494874</v>
      </c>
      <c r="G114" s="724"/>
      <c r="H114" s="724"/>
      <c r="I114" s="726">
        <f>C114+F114</f>
        <v>1393178</v>
      </c>
      <c r="J114" s="832"/>
    </row>
    <row r="115" spans="1:10" ht="12.75">
      <c r="A115" s="716" t="s">
        <v>92</v>
      </c>
      <c r="B115" s="739">
        <f>C115+E115+H115</f>
        <v>5000000</v>
      </c>
      <c r="C115" s="728">
        <v>5000000</v>
      </c>
      <c r="D115" s="728"/>
      <c r="E115" s="728"/>
      <c r="F115" s="728"/>
      <c r="G115" s="728"/>
      <c r="H115" s="728"/>
      <c r="I115" s="729">
        <f>C115+F115</f>
        <v>5000000</v>
      </c>
      <c r="J115" s="832"/>
    </row>
    <row r="116" spans="1:10" ht="12.75">
      <c r="A116" s="716" t="s">
        <v>93</v>
      </c>
      <c r="B116" s="739">
        <f>C116+E116+H116</f>
        <v>11624828</v>
      </c>
      <c r="C116" s="728">
        <v>6283393</v>
      </c>
      <c r="D116" s="728">
        <v>5341435</v>
      </c>
      <c r="E116" s="728">
        <v>5341435</v>
      </c>
      <c r="F116" s="728">
        <v>5343063</v>
      </c>
      <c r="G116" s="728"/>
      <c r="H116" s="728"/>
      <c r="I116" s="729">
        <f>C116+F116</f>
        <v>11626456</v>
      </c>
      <c r="J116" s="832"/>
    </row>
    <row r="117" spans="1:10" ht="12.75">
      <c r="A117" s="716" t="s">
        <v>94</v>
      </c>
      <c r="B117" s="739">
        <f>C117+E117+H117</f>
        <v>0</v>
      </c>
      <c r="C117" s="728"/>
      <c r="D117" s="728"/>
      <c r="E117" s="728"/>
      <c r="F117" s="728"/>
      <c r="G117" s="728"/>
      <c r="H117" s="728"/>
      <c r="I117" s="729">
        <f>C117+F117</f>
        <v>0</v>
      </c>
      <c r="J117" s="832"/>
    </row>
    <row r="118" spans="1:10" ht="13.5" thickBot="1">
      <c r="A118" s="717"/>
      <c r="B118" s="741">
        <f>C118+E118+H118</f>
        <v>0</v>
      </c>
      <c r="C118" s="732"/>
      <c r="D118" s="732"/>
      <c r="E118" s="728"/>
      <c r="F118" s="732"/>
      <c r="G118" s="732"/>
      <c r="H118" s="728"/>
      <c r="I118" s="733">
        <f>C118+F118</f>
        <v>0</v>
      </c>
      <c r="J118" s="832"/>
    </row>
    <row r="119" spans="1:10" ht="13.5" thickBot="1">
      <c r="A119" s="718" t="s">
        <v>74</v>
      </c>
      <c r="B119" s="740">
        <f aca="true" t="shared" si="19" ref="B119:I119">SUM(B114:B118)</f>
        <v>18020153</v>
      </c>
      <c r="C119" s="730">
        <f t="shared" si="19"/>
        <v>12181697</v>
      </c>
      <c r="D119" s="730">
        <f t="shared" si="19"/>
        <v>5838456</v>
      </c>
      <c r="E119" s="730">
        <f t="shared" si="19"/>
        <v>5838456</v>
      </c>
      <c r="F119" s="730">
        <f t="shared" si="19"/>
        <v>5837937</v>
      </c>
      <c r="G119" s="730">
        <f t="shared" si="19"/>
        <v>0</v>
      </c>
      <c r="H119" s="730">
        <f t="shared" si="19"/>
        <v>0</v>
      </c>
      <c r="I119" s="731">
        <f t="shared" si="19"/>
        <v>18019634</v>
      </c>
      <c r="J119" s="832"/>
    </row>
    <row r="120" ht="12.75">
      <c r="J120" s="832"/>
    </row>
    <row r="121" ht="12.75">
      <c r="J121" s="832"/>
    </row>
    <row r="122" spans="1:10" ht="14.25">
      <c r="A122" s="849" t="s">
        <v>856</v>
      </c>
      <c r="B122" s="849"/>
      <c r="C122" s="850" t="s">
        <v>971</v>
      </c>
      <c r="D122" s="851"/>
      <c r="E122" s="851"/>
      <c r="F122" s="851"/>
      <c r="G122" s="851"/>
      <c r="H122" s="851"/>
      <c r="I122" s="851"/>
      <c r="J122" s="832"/>
    </row>
    <row r="123" spans="1:10" ht="15.75" thickBot="1">
      <c r="A123" s="703"/>
      <c r="B123" s="703"/>
      <c r="C123" s="703"/>
      <c r="D123" s="703"/>
      <c r="E123" s="703"/>
      <c r="F123" s="703"/>
      <c r="G123" s="703"/>
      <c r="H123" s="852" t="s">
        <v>838</v>
      </c>
      <c r="I123" s="852"/>
      <c r="J123" s="832"/>
    </row>
    <row r="124" spans="1:10" ht="13.5" customHeight="1" thickBot="1">
      <c r="A124" s="853" t="s">
        <v>83</v>
      </c>
      <c r="B124" s="856" t="s">
        <v>445</v>
      </c>
      <c r="C124" s="857"/>
      <c r="D124" s="857"/>
      <c r="E124" s="857"/>
      <c r="F124" s="858"/>
      <c r="G124" s="858"/>
      <c r="H124" s="858"/>
      <c r="I124" s="859"/>
      <c r="J124" s="832"/>
    </row>
    <row r="125" spans="1:10" ht="13.5" customHeight="1" thickBot="1">
      <c r="A125" s="854"/>
      <c r="B125" s="860" t="str">
        <f>B103</f>
        <v>Módosítás utáni összes forrás, kiadás</v>
      </c>
      <c r="C125" s="863" t="s">
        <v>854</v>
      </c>
      <c r="D125" s="864"/>
      <c r="E125" s="864"/>
      <c r="F125" s="864"/>
      <c r="G125" s="864"/>
      <c r="H125" s="864"/>
      <c r="I125" s="865"/>
      <c r="J125" s="832"/>
    </row>
    <row r="126" spans="1:10" ht="48.75" thickBot="1">
      <c r="A126" s="854"/>
      <c r="B126" s="861"/>
      <c r="C126" s="866" t="str">
        <f>CONCATENATE(Z_TARTALOMJEGYZÉK!$A$1,".  előtti forrás, kiadás")</f>
        <v>2020.  előtti forrás, kiadás</v>
      </c>
      <c r="D126" s="704" t="s">
        <v>447</v>
      </c>
      <c r="E126" s="704" t="s">
        <v>448</v>
      </c>
      <c r="F126" s="705" t="str">
        <f>CONCATENATE("Összes teljesítés ",Z_TARTALOMJEGYZÉK!$A$1,". XII.31 -ig")</f>
        <v>Összes teljesítés 2020. XII.31 -ig</v>
      </c>
      <c r="G126" s="705" t="s">
        <v>447</v>
      </c>
      <c r="H126" s="705" t="s">
        <v>448</v>
      </c>
      <c r="I126" s="705" t="str">
        <f>CONCATENATE("Összes teljesítés ",Z_TARTALOMJEGYZÉK!$A$1,". XII.31 -ig")</f>
        <v>Összes teljesítés 2020. XII.31 -ig</v>
      </c>
      <c r="J126" s="832"/>
    </row>
    <row r="127" spans="1:10" ht="13.5" thickBot="1">
      <c r="A127" s="855"/>
      <c r="B127" s="862"/>
      <c r="C127" s="867"/>
      <c r="D127" s="868" t="str">
        <f>CONCATENATE(Z_TARTALOMJEGYZÉK!$A$1,". évi")</f>
        <v>2020. évi</v>
      </c>
      <c r="E127" s="869"/>
      <c r="F127" s="870"/>
      <c r="G127" s="868" t="str">
        <f>CONCATENATE(Z_TARTALOMJEGYZÉK!$A$1,". után")</f>
        <v>2020. után</v>
      </c>
      <c r="H127" s="871"/>
      <c r="I127" s="870"/>
      <c r="J127" s="832"/>
    </row>
    <row r="128" spans="1:10" ht="13.5" thickBot="1">
      <c r="A128" s="706" t="s">
        <v>386</v>
      </c>
      <c r="B128" s="707" t="s">
        <v>859</v>
      </c>
      <c r="C128" s="708" t="s">
        <v>388</v>
      </c>
      <c r="D128" s="709" t="s">
        <v>390</v>
      </c>
      <c r="E128" s="709" t="s">
        <v>389</v>
      </c>
      <c r="F128" s="708" t="s">
        <v>391</v>
      </c>
      <c r="G128" s="708" t="s">
        <v>392</v>
      </c>
      <c r="H128" s="708" t="s">
        <v>393</v>
      </c>
      <c r="I128" s="710" t="s">
        <v>858</v>
      </c>
      <c r="J128" s="832"/>
    </row>
    <row r="129" spans="1:10" ht="12.75">
      <c r="A129" s="711" t="s">
        <v>84</v>
      </c>
      <c r="B129" s="737">
        <f aca="true" t="shared" si="20" ref="B129:B134">C129+E129+H129</f>
        <v>2126043</v>
      </c>
      <c r="C129" s="723">
        <v>2126043</v>
      </c>
      <c r="D129" s="724"/>
      <c r="E129" s="724"/>
      <c r="F129" s="734"/>
      <c r="G129" s="724"/>
      <c r="H129" s="725"/>
      <c r="I129" s="726">
        <f aca="true" t="shared" si="21" ref="I129:I134">C129+F129</f>
        <v>2126043</v>
      </c>
      <c r="J129" s="832"/>
    </row>
    <row r="130" spans="1:10" ht="12.75">
      <c r="A130" s="712" t="s">
        <v>95</v>
      </c>
      <c r="B130" s="738">
        <f t="shared" si="20"/>
        <v>0</v>
      </c>
      <c r="C130" s="727"/>
      <c r="D130" s="727"/>
      <c r="E130" s="728"/>
      <c r="F130" s="735"/>
      <c r="G130" s="727"/>
      <c r="H130" s="728"/>
      <c r="I130" s="729">
        <f t="shared" si="21"/>
        <v>0</v>
      </c>
      <c r="J130" s="832"/>
    </row>
    <row r="131" spans="1:10" ht="12.75">
      <c r="A131" s="713" t="s">
        <v>85</v>
      </c>
      <c r="B131" s="739">
        <f t="shared" si="20"/>
        <v>11433739</v>
      </c>
      <c r="C131" s="728">
        <v>11433739</v>
      </c>
      <c r="D131" s="728">
        <v>4830488</v>
      </c>
      <c r="E131" s="728"/>
      <c r="F131" s="736"/>
      <c r="G131" s="728"/>
      <c r="H131" s="728"/>
      <c r="I131" s="729">
        <f t="shared" si="21"/>
        <v>11433739</v>
      </c>
      <c r="J131" s="832"/>
    </row>
    <row r="132" spans="1:10" ht="12.75">
      <c r="A132" s="713" t="s">
        <v>96</v>
      </c>
      <c r="B132" s="739">
        <f t="shared" si="20"/>
        <v>2870158</v>
      </c>
      <c r="C132" s="728">
        <v>2870158</v>
      </c>
      <c r="D132" s="728"/>
      <c r="E132" s="728"/>
      <c r="F132" s="736"/>
      <c r="G132" s="728"/>
      <c r="H132" s="728"/>
      <c r="I132" s="729">
        <f t="shared" si="21"/>
        <v>2870158</v>
      </c>
      <c r="J132" s="832"/>
    </row>
    <row r="133" spans="1:10" ht="12.75">
      <c r="A133" s="713" t="s">
        <v>86</v>
      </c>
      <c r="B133" s="739">
        <f t="shared" si="20"/>
        <v>0</v>
      </c>
      <c r="C133" s="728"/>
      <c r="D133" s="728"/>
      <c r="E133" s="728"/>
      <c r="F133" s="736"/>
      <c r="G133" s="728"/>
      <c r="H133" s="728"/>
      <c r="I133" s="729">
        <f t="shared" si="21"/>
        <v>0</v>
      </c>
      <c r="J133" s="832"/>
    </row>
    <row r="134" spans="1:10" ht="13.5" thickBot="1">
      <c r="A134" s="713" t="s">
        <v>87</v>
      </c>
      <c r="B134" s="739">
        <f t="shared" si="20"/>
        <v>0</v>
      </c>
      <c r="C134" s="728"/>
      <c r="D134" s="728"/>
      <c r="E134" s="728"/>
      <c r="F134" s="736"/>
      <c r="G134" s="728"/>
      <c r="H134" s="728"/>
      <c r="I134" s="729">
        <f t="shared" si="21"/>
        <v>0</v>
      </c>
      <c r="J134" s="832"/>
    </row>
    <row r="135" spans="1:10" ht="13.5" thickBot="1">
      <c r="A135" s="714" t="s">
        <v>88</v>
      </c>
      <c r="B135" s="740">
        <f aca="true" t="shared" si="22" ref="B135:I135">B129+SUM(B131:B134)</f>
        <v>16429940</v>
      </c>
      <c r="C135" s="730">
        <f t="shared" si="22"/>
        <v>16429940</v>
      </c>
      <c r="D135" s="730">
        <f t="shared" si="22"/>
        <v>4830488</v>
      </c>
      <c r="E135" s="730">
        <f t="shared" si="22"/>
        <v>0</v>
      </c>
      <c r="F135" s="730">
        <f t="shared" si="22"/>
        <v>0</v>
      </c>
      <c r="G135" s="730">
        <f t="shared" si="22"/>
        <v>0</v>
      </c>
      <c r="H135" s="730">
        <f t="shared" si="22"/>
        <v>0</v>
      </c>
      <c r="I135" s="731">
        <f t="shared" si="22"/>
        <v>16429940</v>
      </c>
      <c r="J135" s="832"/>
    </row>
    <row r="136" spans="1:10" ht="12.75">
      <c r="A136" s="715" t="s">
        <v>91</v>
      </c>
      <c r="B136" s="737">
        <f>C136+E136+H136</f>
        <v>0</v>
      </c>
      <c r="C136" s="724"/>
      <c r="D136" s="724"/>
      <c r="E136" s="724"/>
      <c r="F136" s="724"/>
      <c r="G136" s="724"/>
      <c r="H136" s="724"/>
      <c r="I136" s="726">
        <f>C136+F136</f>
        <v>0</v>
      </c>
      <c r="J136" s="832"/>
    </row>
    <row r="137" spans="1:10" ht="12.75">
      <c r="A137" s="716" t="s">
        <v>92</v>
      </c>
      <c r="B137" s="739">
        <f>C137+E137+H137</f>
        <v>16429940</v>
      </c>
      <c r="C137" s="728">
        <v>16429940</v>
      </c>
      <c r="D137" s="728">
        <v>4830488</v>
      </c>
      <c r="E137" s="728"/>
      <c r="F137" s="728"/>
      <c r="G137" s="728"/>
      <c r="H137" s="728"/>
      <c r="I137" s="729">
        <f>C137+F137</f>
        <v>16429940</v>
      </c>
      <c r="J137" s="832"/>
    </row>
    <row r="138" spans="1:10" ht="12.75">
      <c r="A138" s="716" t="s">
        <v>93</v>
      </c>
      <c r="B138" s="739">
        <f>C138+E138+H138</f>
        <v>0</v>
      </c>
      <c r="C138" s="728"/>
      <c r="D138" s="728"/>
      <c r="E138" s="728"/>
      <c r="F138" s="728"/>
      <c r="G138" s="728"/>
      <c r="H138" s="728"/>
      <c r="I138" s="729">
        <f>C138+F138</f>
        <v>0</v>
      </c>
      <c r="J138" s="832"/>
    </row>
    <row r="139" spans="1:10" ht="12.75">
      <c r="A139" s="716" t="s">
        <v>94</v>
      </c>
      <c r="B139" s="739">
        <f>C139+E139+H139</f>
        <v>0</v>
      </c>
      <c r="C139" s="728"/>
      <c r="D139" s="728"/>
      <c r="E139" s="728"/>
      <c r="F139" s="728"/>
      <c r="G139" s="728"/>
      <c r="H139" s="728"/>
      <c r="I139" s="729">
        <f>C139+F139</f>
        <v>0</v>
      </c>
      <c r="J139" s="832"/>
    </row>
    <row r="140" spans="1:10" ht="13.5" thickBot="1">
      <c r="A140" s="717"/>
      <c r="B140" s="741">
        <f>C140+E140+H140</f>
        <v>0</v>
      </c>
      <c r="C140" s="732"/>
      <c r="D140" s="732"/>
      <c r="E140" s="728"/>
      <c r="F140" s="732"/>
      <c r="G140" s="732"/>
      <c r="H140" s="728"/>
      <c r="I140" s="733">
        <f>C140+F140</f>
        <v>0</v>
      </c>
      <c r="J140" s="832"/>
    </row>
    <row r="141" spans="1:10" ht="13.5" thickBot="1">
      <c r="A141" s="718" t="s">
        <v>74</v>
      </c>
      <c r="B141" s="740">
        <f aca="true" t="shared" si="23" ref="B141:I141">SUM(B136:B140)</f>
        <v>16429940</v>
      </c>
      <c r="C141" s="730">
        <f t="shared" si="23"/>
        <v>16429940</v>
      </c>
      <c r="D141" s="730">
        <f t="shared" si="23"/>
        <v>4830488</v>
      </c>
      <c r="E141" s="730">
        <f t="shared" si="23"/>
        <v>0</v>
      </c>
      <c r="F141" s="730">
        <f t="shared" si="23"/>
        <v>0</v>
      </c>
      <c r="G141" s="730">
        <f t="shared" si="23"/>
        <v>0</v>
      </c>
      <c r="H141" s="730">
        <f t="shared" si="23"/>
        <v>0</v>
      </c>
      <c r="I141" s="731">
        <f t="shared" si="23"/>
        <v>16429940</v>
      </c>
      <c r="J141" s="832"/>
    </row>
    <row r="142" ht="12.75">
      <c r="J142" s="832"/>
    </row>
    <row r="143" ht="12.75">
      <c r="J143" s="832"/>
    </row>
    <row r="144" spans="1:10" ht="14.25">
      <c r="A144" s="849" t="s">
        <v>856</v>
      </c>
      <c r="B144" s="849"/>
      <c r="C144" s="851"/>
      <c r="D144" s="851"/>
      <c r="E144" s="851"/>
      <c r="F144" s="851"/>
      <c r="G144" s="851"/>
      <c r="H144" s="851"/>
      <c r="I144" s="851"/>
      <c r="J144" s="832"/>
    </row>
    <row r="145" spans="1:10" ht="15.75" thickBot="1">
      <c r="A145" s="703"/>
      <c r="B145" s="703"/>
      <c r="C145" s="703"/>
      <c r="D145" s="703"/>
      <c r="E145" s="703"/>
      <c r="F145" s="703"/>
      <c r="G145" s="703"/>
      <c r="H145" s="852" t="s">
        <v>838</v>
      </c>
      <c r="I145" s="852"/>
      <c r="J145" s="832"/>
    </row>
    <row r="146" spans="1:10" ht="13.5" customHeight="1" thickBot="1">
      <c r="A146" s="853" t="s">
        <v>83</v>
      </c>
      <c r="B146" s="856" t="s">
        <v>445</v>
      </c>
      <c r="C146" s="857"/>
      <c r="D146" s="857"/>
      <c r="E146" s="857"/>
      <c r="F146" s="858"/>
      <c r="G146" s="858"/>
      <c r="H146" s="858"/>
      <c r="I146" s="859"/>
      <c r="J146" s="832"/>
    </row>
    <row r="147" spans="1:10" ht="13.5" customHeight="1" thickBot="1">
      <c r="A147" s="854"/>
      <c r="B147" s="860" t="str">
        <f>B125</f>
        <v>Módosítás utáni összes forrás, kiadás</v>
      </c>
      <c r="C147" s="863" t="s">
        <v>854</v>
      </c>
      <c r="D147" s="864"/>
      <c r="E147" s="864"/>
      <c r="F147" s="864"/>
      <c r="G147" s="864"/>
      <c r="H147" s="864"/>
      <c r="I147" s="865"/>
      <c r="J147" s="832"/>
    </row>
    <row r="148" spans="1:10" ht="48.75" thickBot="1">
      <c r="A148" s="854"/>
      <c r="B148" s="861"/>
      <c r="C148" s="866" t="str">
        <f>CONCATENATE(Z_TARTALOMJEGYZÉK!$A$1,".  előtti forrás, kiadás")</f>
        <v>2020.  előtti forrás, kiadás</v>
      </c>
      <c r="D148" s="704" t="s">
        <v>447</v>
      </c>
      <c r="E148" s="704" t="s">
        <v>448</v>
      </c>
      <c r="F148" s="705" t="str">
        <f>CONCATENATE("Összes teljesítés ",Z_TARTALOMJEGYZÉK!$A$1,". XII.31 -ig")</f>
        <v>Összes teljesítés 2020. XII.31 -ig</v>
      </c>
      <c r="G148" s="705" t="s">
        <v>447</v>
      </c>
      <c r="H148" s="705" t="s">
        <v>448</v>
      </c>
      <c r="I148" s="705" t="str">
        <f>CONCATENATE("Összes teljesítés ",Z_TARTALOMJEGYZÉK!$A$1,". XII.31 -ig")</f>
        <v>Összes teljesítés 2020. XII.31 -ig</v>
      </c>
      <c r="J148" s="832"/>
    </row>
    <row r="149" spans="1:10" ht="13.5" thickBot="1">
      <c r="A149" s="855"/>
      <c r="B149" s="862"/>
      <c r="C149" s="867"/>
      <c r="D149" s="868" t="str">
        <f>CONCATENATE(Z_TARTALOMJEGYZÉK!$A$1,". évi")</f>
        <v>2020. évi</v>
      </c>
      <c r="E149" s="869"/>
      <c r="F149" s="870"/>
      <c r="G149" s="868" t="str">
        <f>CONCATENATE(Z_TARTALOMJEGYZÉK!$A$1,". után")</f>
        <v>2020. után</v>
      </c>
      <c r="H149" s="871"/>
      <c r="I149" s="870"/>
      <c r="J149" s="832"/>
    </row>
    <row r="150" spans="1:10" ht="13.5" thickBot="1">
      <c r="A150" s="706" t="s">
        <v>386</v>
      </c>
      <c r="B150" s="707" t="s">
        <v>859</v>
      </c>
      <c r="C150" s="708" t="s">
        <v>388</v>
      </c>
      <c r="D150" s="709" t="s">
        <v>390</v>
      </c>
      <c r="E150" s="709" t="s">
        <v>389</v>
      </c>
      <c r="F150" s="708" t="s">
        <v>391</v>
      </c>
      <c r="G150" s="708" t="s">
        <v>392</v>
      </c>
      <c r="H150" s="708" t="s">
        <v>393</v>
      </c>
      <c r="I150" s="710" t="s">
        <v>858</v>
      </c>
      <c r="J150" s="832"/>
    </row>
    <row r="151" spans="1:10" ht="12.75">
      <c r="A151" s="711" t="s">
        <v>84</v>
      </c>
      <c r="B151" s="737">
        <f aca="true" t="shared" si="24" ref="B151:B156">C151+E151+H151</f>
        <v>0</v>
      </c>
      <c r="C151" s="723"/>
      <c r="D151" s="724"/>
      <c r="E151" s="724"/>
      <c r="F151" s="734"/>
      <c r="G151" s="724"/>
      <c r="H151" s="725"/>
      <c r="I151" s="726">
        <f aca="true" t="shared" si="25" ref="I151:I156">C151+F151</f>
        <v>0</v>
      </c>
      <c r="J151" s="832"/>
    </row>
    <row r="152" spans="1:10" ht="12.75">
      <c r="A152" s="712" t="s">
        <v>95</v>
      </c>
      <c r="B152" s="738">
        <f t="shared" si="24"/>
        <v>0</v>
      </c>
      <c r="C152" s="727"/>
      <c r="D152" s="727"/>
      <c r="E152" s="728"/>
      <c r="F152" s="735"/>
      <c r="G152" s="727"/>
      <c r="H152" s="728"/>
      <c r="I152" s="729">
        <f t="shared" si="25"/>
        <v>0</v>
      </c>
      <c r="J152" s="832"/>
    </row>
    <row r="153" spans="1:10" ht="12.75">
      <c r="A153" s="713" t="s">
        <v>85</v>
      </c>
      <c r="B153" s="739">
        <f t="shared" si="24"/>
        <v>0</v>
      </c>
      <c r="C153" s="728"/>
      <c r="D153" s="728"/>
      <c r="E153" s="728"/>
      <c r="F153" s="736"/>
      <c r="G153" s="728"/>
      <c r="H153" s="728"/>
      <c r="I153" s="729">
        <f t="shared" si="25"/>
        <v>0</v>
      </c>
      <c r="J153" s="832"/>
    </row>
    <row r="154" spans="1:10" ht="12.75">
      <c r="A154" s="713" t="s">
        <v>96</v>
      </c>
      <c r="B154" s="739">
        <f t="shared" si="24"/>
        <v>0</v>
      </c>
      <c r="C154" s="728"/>
      <c r="D154" s="728"/>
      <c r="E154" s="728"/>
      <c r="F154" s="736"/>
      <c r="G154" s="728"/>
      <c r="H154" s="728"/>
      <c r="I154" s="729">
        <f t="shared" si="25"/>
        <v>0</v>
      </c>
      <c r="J154" s="832"/>
    </row>
    <row r="155" spans="1:10" ht="12.75">
      <c r="A155" s="713" t="s">
        <v>86</v>
      </c>
      <c r="B155" s="739">
        <f t="shared" si="24"/>
        <v>0</v>
      </c>
      <c r="C155" s="728"/>
      <c r="D155" s="728"/>
      <c r="E155" s="728"/>
      <c r="F155" s="736"/>
      <c r="G155" s="728"/>
      <c r="H155" s="728"/>
      <c r="I155" s="729">
        <f t="shared" si="25"/>
        <v>0</v>
      </c>
      <c r="J155" s="832"/>
    </row>
    <row r="156" spans="1:10" ht="13.5" thickBot="1">
      <c r="A156" s="713" t="s">
        <v>87</v>
      </c>
      <c r="B156" s="739">
        <f t="shared" si="24"/>
        <v>0</v>
      </c>
      <c r="C156" s="728"/>
      <c r="D156" s="728"/>
      <c r="E156" s="728"/>
      <c r="F156" s="736"/>
      <c r="G156" s="728"/>
      <c r="H156" s="728"/>
      <c r="I156" s="729">
        <f t="shared" si="25"/>
        <v>0</v>
      </c>
      <c r="J156" s="832"/>
    </row>
    <row r="157" spans="1:10" ht="13.5" thickBot="1">
      <c r="A157" s="714" t="s">
        <v>88</v>
      </c>
      <c r="B157" s="740">
        <f aca="true" t="shared" si="26" ref="B157:I157">B151+SUM(B153:B156)</f>
        <v>0</v>
      </c>
      <c r="C157" s="730">
        <f t="shared" si="26"/>
        <v>0</v>
      </c>
      <c r="D157" s="730">
        <f t="shared" si="26"/>
        <v>0</v>
      </c>
      <c r="E157" s="730">
        <f t="shared" si="26"/>
        <v>0</v>
      </c>
      <c r="F157" s="730">
        <f t="shared" si="26"/>
        <v>0</v>
      </c>
      <c r="G157" s="730">
        <f t="shared" si="26"/>
        <v>0</v>
      </c>
      <c r="H157" s="730">
        <f t="shared" si="26"/>
        <v>0</v>
      </c>
      <c r="I157" s="731">
        <f t="shared" si="26"/>
        <v>0</v>
      </c>
      <c r="J157" s="832"/>
    </row>
    <row r="158" spans="1:10" ht="12.75">
      <c r="A158" s="715" t="s">
        <v>91</v>
      </c>
      <c r="B158" s="737">
        <f>C158+E158+H158</f>
        <v>0</v>
      </c>
      <c r="C158" s="724"/>
      <c r="D158" s="724"/>
      <c r="E158" s="724"/>
      <c r="F158" s="724"/>
      <c r="G158" s="724"/>
      <c r="H158" s="724"/>
      <c r="I158" s="726">
        <f>C158+F158</f>
        <v>0</v>
      </c>
      <c r="J158" s="832"/>
    </row>
    <row r="159" spans="1:10" ht="12.75">
      <c r="A159" s="716" t="s">
        <v>92</v>
      </c>
      <c r="B159" s="739">
        <f>C159+E159+H159</f>
        <v>0</v>
      </c>
      <c r="C159" s="728"/>
      <c r="D159" s="728"/>
      <c r="E159" s="728"/>
      <c r="F159" s="728"/>
      <c r="G159" s="728"/>
      <c r="H159" s="728"/>
      <c r="I159" s="729">
        <f>C159+F159</f>
        <v>0</v>
      </c>
      <c r="J159" s="832"/>
    </row>
    <row r="160" spans="1:10" ht="12.75">
      <c r="A160" s="716" t="s">
        <v>93</v>
      </c>
      <c r="B160" s="739">
        <f>C160+E160+H160</f>
        <v>0</v>
      </c>
      <c r="C160" s="728"/>
      <c r="D160" s="728"/>
      <c r="E160" s="728"/>
      <c r="F160" s="728"/>
      <c r="G160" s="728"/>
      <c r="H160" s="728"/>
      <c r="I160" s="729">
        <f>C160+F160</f>
        <v>0</v>
      </c>
      <c r="J160" s="832"/>
    </row>
    <row r="161" spans="1:10" ht="12.75">
      <c r="A161" s="716" t="s">
        <v>94</v>
      </c>
      <c r="B161" s="739">
        <f>C161+E161+H161</f>
        <v>0</v>
      </c>
      <c r="C161" s="728"/>
      <c r="D161" s="728"/>
      <c r="E161" s="728"/>
      <c r="F161" s="728"/>
      <c r="G161" s="728"/>
      <c r="H161" s="728"/>
      <c r="I161" s="729">
        <f>C161+F161</f>
        <v>0</v>
      </c>
      <c r="J161" s="832"/>
    </row>
    <row r="162" spans="1:10" ht="13.5" thickBot="1">
      <c r="A162" s="717"/>
      <c r="B162" s="741">
        <f>C162+E162+H162</f>
        <v>0</v>
      </c>
      <c r="C162" s="732"/>
      <c r="D162" s="732"/>
      <c r="E162" s="728"/>
      <c r="F162" s="732"/>
      <c r="G162" s="732"/>
      <c r="H162" s="728"/>
      <c r="I162" s="733">
        <f>C162+F162</f>
        <v>0</v>
      </c>
      <c r="J162" s="832"/>
    </row>
    <row r="163" spans="1:10" ht="13.5" thickBot="1">
      <c r="A163" s="718" t="s">
        <v>74</v>
      </c>
      <c r="B163" s="740">
        <f aca="true" t="shared" si="27" ref="B163:I163">SUM(B158:B162)</f>
        <v>0</v>
      </c>
      <c r="C163" s="730">
        <f t="shared" si="27"/>
        <v>0</v>
      </c>
      <c r="D163" s="730">
        <f t="shared" si="27"/>
        <v>0</v>
      </c>
      <c r="E163" s="730">
        <f t="shared" si="27"/>
        <v>0</v>
      </c>
      <c r="F163" s="730">
        <f t="shared" si="27"/>
        <v>0</v>
      </c>
      <c r="G163" s="730">
        <f t="shared" si="27"/>
        <v>0</v>
      </c>
      <c r="H163" s="730">
        <f t="shared" si="27"/>
        <v>0</v>
      </c>
      <c r="I163" s="731">
        <f t="shared" si="27"/>
        <v>0</v>
      </c>
      <c r="J163" s="832"/>
    </row>
    <row r="164" ht="12.75">
      <c r="J164" s="832"/>
    </row>
    <row r="165" ht="12.75">
      <c r="J165" s="832"/>
    </row>
    <row r="166" spans="1:10" ht="14.25">
      <c r="A166" s="849" t="s">
        <v>856</v>
      </c>
      <c r="B166" s="849"/>
      <c r="C166" s="851"/>
      <c r="D166" s="851"/>
      <c r="E166" s="851"/>
      <c r="F166" s="851"/>
      <c r="G166" s="851"/>
      <c r="H166" s="851"/>
      <c r="I166" s="851"/>
      <c r="J166" s="832"/>
    </row>
    <row r="167" spans="1:10" ht="15.75" thickBot="1">
      <c r="A167" s="703"/>
      <c r="B167" s="703"/>
      <c r="C167" s="703"/>
      <c r="D167" s="703"/>
      <c r="E167" s="703"/>
      <c r="F167" s="703"/>
      <c r="G167" s="703"/>
      <c r="H167" s="852" t="s">
        <v>838</v>
      </c>
      <c r="I167" s="852"/>
      <c r="J167" s="832"/>
    </row>
    <row r="168" spans="1:10" ht="13.5" customHeight="1" thickBot="1">
      <c r="A168" s="853" t="s">
        <v>83</v>
      </c>
      <c r="B168" s="856" t="s">
        <v>445</v>
      </c>
      <c r="C168" s="857"/>
      <c r="D168" s="857"/>
      <c r="E168" s="857"/>
      <c r="F168" s="858"/>
      <c r="G168" s="858"/>
      <c r="H168" s="858"/>
      <c r="I168" s="859"/>
      <c r="J168" s="832"/>
    </row>
    <row r="169" spans="1:10" ht="13.5" customHeight="1" thickBot="1">
      <c r="A169" s="854"/>
      <c r="B169" s="860" t="str">
        <f>B147</f>
        <v>Módosítás utáni összes forrás, kiadás</v>
      </c>
      <c r="C169" s="863" t="s">
        <v>854</v>
      </c>
      <c r="D169" s="864"/>
      <c r="E169" s="864"/>
      <c r="F169" s="864"/>
      <c r="G169" s="864"/>
      <c r="H169" s="864"/>
      <c r="I169" s="865"/>
      <c r="J169" s="832"/>
    </row>
    <row r="170" spans="1:10" ht="48.75" thickBot="1">
      <c r="A170" s="854"/>
      <c r="B170" s="861"/>
      <c r="C170" s="866" t="str">
        <f>CONCATENATE(Z_TARTALOMJEGYZÉK!$A$1,".  előtti forrás, kiadás")</f>
        <v>2020.  előtti forrás, kiadás</v>
      </c>
      <c r="D170" s="704" t="s">
        <v>447</v>
      </c>
      <c r="E170" s="704" t="s">
        <v>448</v>
      </c>
      <c r="F170" s="705" t="str">
        <f>CONCATENATE("Összes teljesítés ",Z_TARTALOMJEGYZÉK!$A$1,". XII.31 -ig")</f>
        <v>Összes teljesítés 2020. XII.31 -ig</v>
      </c>
      <c r="G170" s="705" t="s">
        <v>447</v>
      </c>
      <c r="H170" s="705" t="s">
        <v>448</v>
      </c>
      <c r="I170" s="705" t="str">
        <f>CONCATENATE("Összes teljesítés ",Z_TARTALOMJEGYZÉK!$A$1,". XII.31 -ig")</f>
        <v>Összes teljesítés 2020. XII.31 -ig</v>
      </c>
      <c r="J170" s="832"/>
    </row>
    <row r="171" spans="1:10" ht="13.5" thickBot="1">
      <c r="A171" s="855"/>
      <c r="B171" s="862"/>
      <c r="C171" s="867"/>
      <c r="D171" s="868" t="str">
        <f>CONCATENATE(Z_TARTALOMJEGYZÉK!$A$1,". évi")</f>
        <v>2020. évi</v>
      </c>
      <c r="E171" s="869"/>
      <c r="F171" s="870"/>
      <c r="G171" s="868" t="str">
        <f>CONCATENATE(Z_TARTALOMJEGYZÉK!$A$1,". után")</f>
        <v>2020. után</v>
      </c>
      <c r="H171" s="871"/>
      <c r="I171" s="870"/>
      <c r="J171" s="832"/>
    </row>
    <row r="172" spans="1:10" ht="13.5" thickBot="1">
      <c r="A172" s="706" t="s">
        <v>386</v>
      </c>
      <c r="B172" s="707" t="s">
        <v>859</v>
      </c>
      <c r="C172" s="708" t="s">
        <v>388</v>
      </c>
      <c r="D172" s="709" t="s">
        <v>390</v>
      </c>
      <c r="E172" s="709" t="s">
        <v>389</v>
      </c>
      <c r="F172" s="708" t="s">
        <v>391</v>
      </c>
      <c r="G172" s="708" t="s">
        <v>392</v>
      </c>
      <c r="H172" s="708" t="s">
        <v>393</v>
      </c>
      <c r="I172" s="710" t="s">
        <v>858</v>
      </c>
      <c r="J172" s="832"/>
    </row>
    <row r="173" spans="1:10" ht="12.75">
      <c r="A173" s="711" t="s">
        <v>84</v>
      </c>
      <c r="B173" s="737">
        <f aca="true" t="shared" si="28" ref="B173:B178">C173+E173+H173</f>
        <v>0</v>
      </c>
      <c r="C173" s="723"/>
      <c r="D173" s="724"/>
      <c r="E173" s="724"/>
      <c r="F173" s="734"/>
      <c r="G173" s="724"/>
      <c r="H173" s="725"/>
      <c r="I173" s="726">
        <f aca="true" t="shared" si="29" ref="I173:I178">C173+F173</f>
        <v>0</v>
      </c>
      <c r="J173" s="832"/>
    </row>
    <row r="174" spans="1:10" ht="12.75">
      <c r="A174" s="712" t="s">
        <v>95</v>
      </c>
      <c r="B174" s="738">
        <f t="shared" si="28"/>
        <v>0</v>
      </c>
      <c r="C174" s="727"/>
      <c r="D174" s="727"/>
      <c r="E174" s="728"/>
      <c r="F174" s="735"/>
      <c r="G174" s="727"/>
      <c r="H174" s="728"/>
      <c r="I174" s="729">
        <f t="shared" si="29"/>
        <v>0</v>
      </c>
      <c r="J174" s="832"/>
    </row>
    <row r="175" spans="1:10" ht="12.75">
      <c r="A175" s="713" t="s">
        <v>85</v>
      </c>
      <c r="B175" s="739">
        <f t="shared" si="28"/>
        <v>0</v>
      </c>
      <c r="C175" s="728"/>
      <c r="D175" s="728"/>
      <c r="E175" s="728"/>
      <c r="F175" s="736"/>
      <c r="G175" s="728"/>
      <c r="H175" s="728"/>
      <c r="I175" s="729">
        <f t="shared" si="29"/>
        <v>0</v>
      </c>
      <c r="J175" s="832"/>
    </row>
    <row r="176" spans="1:10" ht="12.75">
      <c r="A176" s="713" t="s">
        <v>96</v>
      </c>
      <c r="B176" s="739">
        <f t="shared" si="28"/>
        <v>0</v>
      </c>
      <c r="C176" s="728"/>
      <c r="D176" s="728"/>
      <c r="E176" s="728"/>
      <c r="F176" s="736"/>
      <c r="G176" s="728"/>
      <c r="H176" s="728"/>
      <c r="I176" s="729">
        <f t="shared" si="29"/>
        <v>0</v>
      </c>
      <c r="J176" s="832"/>
    </row>
    <row r="177" spans="1:10" ht="12.75">
      <c r="A177" s="713" t="s">
        <v>86</v>
      </c>
      <c r="B177" s="739">
        <f t="shared" si="28"/>
        <v>0</v>
      </c>
      <c r="C177" s="728"/>
      <c r="D177" s="728"/>
      <c r="E177" s="728"/>
      <c r="F177" s="736"/>
      <c r="G177" s="728"/>
      <c r="H177" s="728"/>
      <c r="I177" s="729">
        <f t="shared" si="29"/>
        <v>0</v>
      </c>
      <c r="J177" s="832"/>
    </row>
    <row r="178" spans="1:10" ht="13.5" thickBot="1">
      <c r="A178" s="713" t="s">
        <v>87</v>
      </c>
      <c r="B178" s="739">
        <f t="shared" si="28"/>
        <v>0</v>
      </c>
      <c r="C178" s="728"/>
      <c r="D178" s="728"/>
      <c r="E178" s="728"/>
      <c r="F178" s="736"/>
      <c r="G178" s="728"/>
      <c r="H178" s="728"/>
      <c r="I178" s="729">
        <f t="shared" si="29"/>
        <v>0</v>
      </c>
      <c r="J178" s="832"/>
    </row>
    <row r="179" spans="1:10" ht="13.5" thickBot="1">
      <c r="A179" s="714" t="s">
        <v>88</v>
      </c>
      <c r="B179" s="740">
        <f aca="true" t="shared" si="30" ref="B179:I179">B173+SUM(B175:B178)</f>
        <v>0</v>
      </c>
      <c r="C179" s="730">
        <f t="shared" si="30"/>
        <v>0</v>
      </c>
      <c r="D179" s="730">
        <f t="shared" si="30"/>
        <v>0</v>
      </c>
      <c r="E179" s="730">
        <f t="shared" si="30"/>
        <v>0</v>
      </c>
      <c r="F179" s="730">
        <f t="shared" si="30"/>
        <v>0</v>
      </c>
      <c r="G179" s="730">
        <f t="shared" si="30"/>
        <v>0</v>
      </c>
      <c r="H179" s="730">
        <f t="shared" si="30"/>
        <v>0</v>
      </c>
      <c r="I179" s="731">
        <f t="shared" si="30"/>
        <v>0</v>
      </c>
      <c r="J179" s="832"/>
    </row>
    <row r="180" spans="1:10" ht="12.75">
      <c r="A180" s="715" t="s">
        <v>91</v>
      </c>
      <c r="B180" s="737">
        <f>C180+E180+H180</f>
        <v>0</v>
      </c>
      <c r="C180" s="724"/>
      <c r="D180" s="724"/>
      <c r="E180" s="724"/>
      <c r="F180" s="724"/>
      <c r="G180" s="724"/>
      <c r="H180" s="724"/>
      <c r="I180" s="726">
        <f>C180+F180</f>
        <v>0</v>
      </c>
      <c r="J180" s="832"/>
    </row>
    <row r="181" spans="1:10" ht="12.75">
      <c r="A181" s="716" t="s">
        <v>92</v>
      </c>
      <c r="B181" s="739">
        <f>C181+E181+H181</f>
        <v>0</v>
      </c>
      <c r="C181" s="728"/>
      <c r="D181" s="728"/>
      <c r="E181" s="728"/>
      <c r="F181" s="728"/>
      <c r="G181" s="728"/>
      <c r="H181" s="728"/>
      <c r="I181" s="729">
        <f>C181+F181</f>
        <v>0</v>
      </c>
      <c r="J181" s="832"/>
    </row>
    <row r="182" spans="1:10" ht="12.75">
      <c r="A182" s="716" t="s">
        <v>93</v>
      </c>
      <c r="B182" s="739">
        <f>C182+E182+H182</f>
        <v>0</v>
      </c>
      <c r="C182" s="728"/>
      <c r="D182" s="728"/>
      <c r="E182" s="728"/>
      <c r="F182" s="728"/>
      <c r="G182" s="728"/>
      <c r="H182" s="728"/>
      <c r="I182" s="729">
        <f>C182+F182</f>
        <v>0</v>
      </c>
      <c r="J182" s="832"/>
    </row>
    <row r="183" spans="1:10" ht="12.75">
      <c r="A183" s="716" t="s">
        <v>94</v>
      </c>
      <c r="B183" s="739">
        <f>C183+E183+H183</f>
        <v>0</v>
      </c>
      <c r="C183" s="728"/>
      <c r="D183" s="728"/>
      <c r="E183" s="728"/>
      <c r="F183" s="728"/>
      <c r="G183" s="728"/>
      <c r="H183" s="728"/>
      <c r="I183" s="729">
        <f>C183+F183</f>
        <v>0</v>
      </c>
      <c r="J183" s="832"/>
    </row>
    <row r="184" spans="1:10" ht="13.5" thickBot="1">
      <c r="A184" s="717"/>
      <c r="B184" s="741">
        <f>C184+E184+H184</f>
        <v>0</v>
      </c>
      <c r="C184" s="732"/>
      <c r="D184" s="732"/>
      <c r="E184" s="728"/>
      <c r="F184" s="732"/>
      <c r="G184" s="732"/>
      <c r="H184" s="728"/>
      <c r="I184" s="733">
        <f>C184+F184</f>
        <v>0</v>
      </c>
      <c r="J184" s="832"/>
    </row>
    <row r="185" spans="1:10" ht="13.5" thickBot="1">
      <c r="A185" s="718" t="s">
        <v>74</v>
      </c>
      <c r="B185" s="740">
        <f aca="true" t="shared" si="31" ref="B185:I185">SUM(B180:B184)</f>
        <v>0</v>
      </c>
      <c r="C185" s="730">
        <f t="shared" si="31"/>
        <v>0</v>
      </c>
      <c r="D185" s="730">
        <f t="shared" si="31"/>
        <v>0</v>
      </c>
      <c r="E185" s="730">
        <f t="shared" si="31"/>
        <v>0</v>
      </c>
      <c r="F185" s="730">
        <f t="shared" si="31"/>
        <v>0</v>
      </c>
      <c r="G185" s="730">
        <f t="shared" si="31"/>
        <v>0</v>
      </c>
      <c r="H185" s="730">
        <f t="shared" si="31"/>
        <v>0</v>
      </c>
      <c r="I185" s="731">
        <f t="shared" si="31"/>
        <v>0</v>
      </c>
      <c r="J185" s="832"/>
    </row>
    <row r="186" ht="12.75">
      <c r="J186" s="832"/>
    </row>
    <row r="187" ht="12.75">
      <c r="J187" s="832"/>
    </row>
    <row r="188" spans="1:10" ht="14.25">
      <c r="A188" s="849" t="s">
        <v>856</v>
      </c>
      <c r="B188" s="849"/>
      <c r="C188" s="851"/>
      <c r="D188" s="851"/>
      <c r="E188" s="851"/>
      <c r="F188" s="851"/>
      <c r="G188" s="851"/>
      <c r="H188" s="851"/>
      <c r="I188" s="851"/>
      <c r="J188" s="832"/>
    </row>
    <row r="189" spans="1:10" ht="15.75" thickBot="1">
      <c r="A189" s="703"/>
      <c r="B189" s="703"/>
      <c r="C189" s="703"/>
      <c r="D189" s="703"/>
      <c r="E189" s="703"/>
      <c r="F189" s="703"/>
      <c r="G189" s="703"/>
      <c r="H189" s="852" t="s">
        <v>838</v>
      </c>
      <c r="I189" s="852"/>
      <c r="J189" s="832"/>
    </row>
    <row r="190" spans="1:10" ht="13.5" customHeight="1" thickBot="1">
      <c r="A190" s="853" t="s">
        <v>83</v>
      </c>
      <c r="B190" s="856" t="s">
        <v>445</v>
      </c>
      <c r="C190" s="857"/>
      <c r="D190" s="857"/>
      <c r="E190" s="857"/>
      <c r="F190" s="858"/>
      <c r="G190" s="858"/>
      <c r="H190" s="858"/>
      <c r="I190" s="859"/>
      <c r="J190" s="832"/>
    </row>
    <row r="191" spans="1:10" ht="13.5" customHeight="1" thickBot="1">
      <c r="A191" s="854"/>
      <c r="B191" s="860" t="str">
        <f>B169</f>
        <v>Módosítás utáni összes forrás, kiadás</v>
      </c>
      <c r="C191" s="863" t="s">
        <v>854</v>
      </c>
      <c r="D191" s="864"/>
      <c r="E191" s="864"/>
      <c r="F191" s="864"/>
      <c r="G191" s="864"/>
      <c r="H191" s="864"/>
      <c r="I191" s="865"/>
      <c r="J191" s="832"/>
    </row>
    <row r="192" spans="1:10" ht="48.75" thickBot="1">
      <c r="A192" s="854"/>
      <c r="B192" s="861"/>
      <c r="C192" s="866" t="str">
        <f>CONCATENATE(Z_TARTALOMJEGYZÉK!$A$1,".  előtti forrás, kiadás")</f>
        <v>2020.  előtti forrás, kiadás</v>
      </c>
      <c r="D192" s="704" t="s">
        <v>447</v>
      </c>
      <c r="E192" s="704" t="s">
        <v>448</v>
      </c>
      <c r="F192" s="705" t="str">
        <f>CONCATENATE("Összes teljesítés ",Z_TARTALOMJEGYZÉK!$A$1,". XII.31 -ig")</f>
        <v>Összes teljesítés 2020. XII.31 -ig</v>
      </c>
      <c r="G192" s="705" t="s">
        <v>447</v>
      </c>
      <c r="H192" s="705" t="s">
        <v>448</v>
      </c>
      <c r="I192" s="705" t="str">
        <f>CONCATENATE("Összes teljesítés ",Z_TARTALOMJEGYZÉK!$A$1,". XII.31 -ig")</f>
        <v>Összes teljesítés 2020. XII.31 -ig</v>
      </c>
      <c r="J192" s="832"/>
    </row>
    <row r="193" spans="1:10" ht="13.5" thickBot="1">
      <c r="A193" s="855"/>
      <c r="B193" s="862"/>
      <c r="C193" s="867"/>
      <c r="D193" s="868" t="str">
        <f>CONCATENATE(Z_TARTALOMJEGYZÉK!$A$1,". évi")</f>
        <v>2020. évi</v>
      </c>
      <c r="E193" s="869"/>
      <c r="F193" s="870"/>
      <c r="G193" s="868" t="str">
        <f>CONCATENATE(Z_TARTALOMJEGYZÉK!$A$1,". után")</f>
        <v>2020. után</v>
      </c>
      <c r="H193" s="871"/>
      <c r="I193" s="870"/>
      <c r="J193" s="832"/>
    </row>
    <row r="194" spans="1:10" ht="13.5" thickBot="1">
      <c r="A194" s="706" t="s">
        <v>386</v>
      </c>
      <c r="B194" s="707" t="s">
        <v>859</v>
      </c>
      <c r="C194" s="708" t="s">
        <v>388</v>
      </c>
      <c r="D194" s="709" t="s">
        <v>390</v>
      </c>
      <c r="E194" s="709" t="s">
        <v>389</v>
      </c>
      <c r="F194" s="708" t="s">
        <v>391</v>
      </c>
      <c r="G194" s="708" t="s">
        <v>392</v>
      </c>
      <c r="H194" s="708" t="s">
        <v>393</v>
      </c>
      <c r="I194" s="710" t="s">
        <v>858</v>
      </c>
      <c r="J194" s="832"/>
    </row>
    <row r="195" spans="1:10" ht="12.75">
      <c r="A195" s="711" t="s">
        <v>84</v>
      </c>
      <c r="B195" s="737">
        <f aca="true" t="shared" si="32" ref="B195:B200">C195+E195+H195</f>
        <v>0</v>
      </c>
      <c r="C195" s="723"/>
      <c r="D195" s="724"/>
      <c r="E195" s="724"/>
      <c r="F195" s="734"/>
      <c r="G195" s="724"/>
      <c r="H195" s="725"/>
      <c r="I195" s="726">
        <f aca="true" t="shared" si="33" ref="I195:I200">C195+F195</f>
        <v>0</v>
      </c>
      <c r="J195" s="832"/>
    </row>
    <row r="196" spans="1:10" ht="12.75">
      <c r="A196" s="712" t="s">
        <v>95</v>
      </c>
      <c r="B196" s="738">
        <f t="shared" si="32"/>
        <v>0</v>
      </c>
      <c r="C196" s="727"/>
      <c r="D196" s="727"/>
      <c r="E196" s="728"/>
      <c r="F196" s="735"/>
      <c r="G196" s="727"/>
      <c r="H196" s="728"/>
      <c r="I196" s="729">
        <f t="shared" si="33"/>
        <v>0</v>
      </c>
      <c r="J196" s="832"/>
    </row>
    <row r="197" spans="1:10" ht="12.75">
      <c r="A197" s="713" t="s">
        <v>85</v>
      </c>
      <c r="B197" s="739">
        <f t="shared" si="32"/>
        <v>0</v>
      </c>
      <c r="C197" s="728"/>
      <c r="D197" s="728"/>
      <c r="E197" s="728"/>
      <c r="F197" s="736"/>
      <c r="G197" s="728"/>
      <c r="H197" s="728"/>
      <c r="I197" s="729">
        <f t="shared" si="33"/>
        <v>0</v>
      </c>
      <c r="J197" s="832"/>
    </row>
    <row r="198" spans="1:10" ht="12.75">
      <c r="A198" s="713" t="s">
        <v>96</v>
      </c>
      <c r="B198" s="739">
        <f t="shared" si="32"/>
        <v>0</v>
      </c>
      <c r="C198" s="728"/>
      <c r="D198" s="728"/>
      <c r="E198" s="728"/>
      <c r="F198" s="736"/>
      <c r="G198" s="728"/>
      <c r="H198" s="728"/>
      <c r="I198" s="729">
        <f t="shared" si="33"/>
        <v>0</v>
      </c>
      <c r="J198" s="832"/>
    </row>
    <row r="199" spans="1:10" ht="12.75">
      <c r="A199" s="713" t="s">
        <v>86</v>
      </c>
      <c r="B199" s="739">
        <f t="shared" si="32"/>
        <v>0</v>
      </c>
      <c r="C199" s="728"/>
      <c r="D199" s="728"/>
      <c r="E199" s="728"/>
      <c r="F199" s="736"/>
      <c r="G199" s="728"/>
      <c r="H199" s="728"/>
      <c r="I199" s="729">
        <f t="shared" si="33"/>
        <v>0</v>
      </c>
      <c r="J199" s="832"/>
    </row>
    <row r="200" spans="1:10" ht="13.5" thickBot="1">
      <c r="A200" s="713" t="s">
        <v>87</v>
      </c>
      <c r="B200" s="739">
        <f t="shared" si="32"/>
        <v>0</v>
      </c>
      <c r="C200" s="728"/>
      <c r="D200" s="728"/>
      <c r="E200" s="728"/>
      <c r="F200" s="736"/>
      <c r="G200" s="728"/>
      <c r="H200" s="728"/>
      <c r="I200" s="729">
        <f t="shared" si="33"/>
        <v>0</v>
      </c>
      <c r="J200" s="832"/>
    </row>
    <row r="201" spans="1:10" ht="13.5" thickBot="1">
      <c r="A201" s="714" t="s">
        <v>88</v>
      </c>
      <c r="B201" s="740">
        <f aca="true" t="shared" si="34" ref="B201:I201">B195+SUM(B197:B200)</f>
        <v>0</v>
      </c>
      <c r="C201" s="730">
        <f t="shared" si="34"/>
        <v>0</v>
      </c>
      <c r="D201" s="730">
        <f t="shared" si="34"/>
        <v>0</v>
      </c>
      <c r="E201" s="730">
        <f t="shared" si="34"/>
        <v>0</v>
      </c>
      <c r="F201" s="730">
        <f t="shared" si="34"/>
        <v>0</v>
      </c>
      <c r="G201" s="730">
        <f t="shared" si="34"/>
        <v>0</v>
      </c>
      <c r="H201" s="730">
        <f t="shared" si="34"/>
        <v>0</v>
      </c>
      <c r="I201" s="731">
        <f t="shared" si="34"/>
        <v>0</v>
      </c>
      <c r="J201" s="832"/>
    </row>
    <row r="202" spans="1:10" ht="12.75">
      <c r="A202" s="715" t="s">
        <v>91</v>
      </c>
      <c r="B202" s="737">
        <f>C202+E202+H202</f>
        <v>0</v>
      </c>
      <c r="C202" s="724"/>
      <c r="D202" s="724"/>
      <c r="E202" s="724"/>
      <c r="F202" s="724"/>
      <c r="G202" s="724"/>
      <c r="H202" s="724"/>
      <c r="I202" s="726">
        <f>C202+F202</f>
        <v>0</v>
      </c>
      <c r="J202" s="832"/>
    </row>
    <row r="203" spans="1:10" ht="12.75">
      <c r="A203" s="716" t="s">
        <v>92</v>
      </c>
      <c r="B203" s="739">
        <f>C203+E203+H203</f>
        <v>0</v>
      </c>
      <c r="C203" s="728"/>
      <c r="D203" s="728"/>
      <c r="E203" s="728"/>
      <c r="F203" s="728"/>
      <c r="G203" s="728"/>
      <c r="H203" s="728"/>
      <c r="I203" s="729">
        <f>C203+F203</f>
        <v>0</v>
      </c>
      <c r="J203" s="832"/>
    </row>
    <row r="204" spans="1:10" ht="12.75">
      <c r="A204" s="716" t="s">
        <v>93</v>
      </c>
      <c r="B204" s="739">
        <f>C204+E204+H204</f>
        <v>0</v>
      </c>
      <c r="C204" s="728"/>
      <c r="D204" s="728"/>
      <c r="E204" s="728"/>
      <c r="F204" s="728"/>
      <c r="G204" s="728"/>
      <c r="H204" s="728"/>
      <c r="I204" s="729">
        <f>C204+F204</f>
        <v>0</v>
      </c>
      <c r="J204" s="832"/>
    </row>
    <row r="205" spans="1:10" ht="12.75">
      <c r="A205" s="716" t="s">
        <v>94</v>
      </c>
      <c r="B205" s="739">
        <f>C205+E205+H205</f>
        <v>0</v>
      </c>
      <c r="C205" s="728"/>
      <c r="D205" s="728"/>
      <c r="E205" s="728"/>
      <c r="F205" s="728"/>
      <c r="G205" s="728"/>
      <c r="H205" s="728"/>
      <c r="I205" s="729">
        <f>C205+F205</f>
        <v>0</v>
      </c>
      <c r="J205" s="832"/>
    </row>
    <row r="206" spans="1:10" ht="13.5" thickBot="1">
      <c r="A206" s="717"/>
      <c r="B206" s="741">
        <f>C206+E206+H206</f>
        <v>0</v>
      </c>
      <c r="C206" s="732"/>
      <c r="D206" s="732"/>
      <c r="E206" s="728"/>
      <c r="F206" s="732"/>
      <c r="G206" s="732"/>
      <c r="H206" s="728"/>
      <c r="I206" s="733">
        <f>C206+F206</f>
        <v>0</v>
      </c>
      <c r="J206" s="832"/>
    </row>
    <row r="207" spans="1:10" ht="13.5" thickBot="1">
      <c r="A207" s="718" t="s">
        <v>74</v>
      </c>
      <c r="B207" s="740">
        <f aca="true" t="shared" si="35" ref="B207:I207">SUM(B202:B206)</f>
        <v>0</v>
      </c>
      <c r="C207" s="730">
        <f t="shared" si="35"/>
        <v>0</v>
      </c>
      <c r="D207" s="730">
        <f t="shared" si="35"/>
        <v>0</v>
      </c>
      <c r="E207" s="730">
        <f t="shared" si="35"/>
        <v>0</v>
      </c>
      <c r="F207" s="730">
        <f t="shared" si="35"/>
        <v>0</v>
      </c>
      <c r="G207" s="730">
        <f t="shared" si="35"/>
        <v>0</v>
      </c>
      <c r="H207" s="730">
        <f t="shared" si="35"/>
        <v>0</v>
      </c>
      <c r="I207" s="731">
        <f t="shared" si="35"/>
        <v>0</v>
      </c>
      <c r="J207" s="832"/>
    </row>
    <row r="208" ht="12.75">
      <c r="J208" s="832"/>
    </row>
    <row r="209" ht="12.75">
      <c r="J209" s="832"/>
    </row>
    <row r="210" spans="1:10" ht="14.25">
      <c r="A210" s="849" t="s">
        <v>856</v>
      </c>
      <c r="B210" s="849"/>
      <c r="C210" s="851"/>
      <c r="D210" s="851"/>
      <c r="E210" s="851"/>
      <c r="F210" s="851"/>
      <c r="G210" s="851"/>
      <c r="H210" s="851"/>
      <c r="I210" s="851"/>
      <c r="J210" s="832"/>
    </row>
    <row r="211" spans="1:10" ht="15.75" thickBot="1">
      <c r="A211" s="703"/>
      <c r="B211" s="703"/>
      <c r="C211" s="703"/>
      <c r="D211" s="703"/>
      <c r="E211" s="703"/>
      <c r="F211" s="703"/>
      <c r="G211" s="703"/>
      <c r="H211" s="852" t="s">
        <v>838</v>
      </c>
      <c r="I211" s="852"/>
      <c r="J211" s="832"/>
    </row>
    <row r="212" spans="1:10" ht="13.5" customHeight="1" thickBot="1">
      <c r="A212" s="853" t="s">
        <v>83</v>
      </c>
      <c r="B212" s="856" t="s">
        <v>445</v>
      </c>
      <c r="C212" s="857"/>
      <c r="D212" s="857"/>
      <c r="E212" s="857"/>
      <c r="F212" s="858"/>
      <c r="G212" s="858"/>
      <c r="H212" s="858"/>
      <c r="I212" s="859"/>
      <c r="J212" s="832"/>
    </row>
    <row r="213" spans="1:10" ht="13.5" customHeight="1" thickBot="1">
      <c r="A213" s="854"/>
      <c r="B213" s="860" t="str">
        <f>B191</f>
        <v>Módosítás utáni összes forrás, kiadás</v>
      </c>
      <c r="C213" s="863" t="s">
        <v>854</v>
      </c>
      <c r="D213" s="864"/>
      <c r="E213" s="864"/>
      <c r="F213" s="864"/>
      <c r="G213" s="864"/>
      <c r="H213" s="864"/>
      <c r="I213" s="865"/>
      <c r="J213" s="832"/>
    </row>
    <row r="214" spans="1:10" ht="48.75" thickBot="1">
      <c r="A214" s="854"/>
      <c r="B214" s="861"/>
      <c r="C214" s="866" t="str">
        <f>CONCATENATE(Z_TARTALOMJEGYZÉK!$A$1,".  előtti forrás, kiadás")</f>
        <v>2020.  előtti forrás, kiadás</v>
      </c>
      <c r="D214" s="704" t="s">
        <v>447</v>
      </c>
      <c r="E214" s="704" t="s">
        <v>448</v>
      </c>
      <c r="F214" s="705" t="str">
        <f>CONCATENATE("Összes teljesítés ",Z_TARTALOMJEGYZÉK!$A$1,". XII.31 -ig")</f>
        <v>Összes teljesítés 2020. XII.31 -ig</v>
      </c>
      <c r="G214" s="705" t="s">
        <v>447</v>
      </c>
      <c r="H214" s="705" t="s">
        <v>448</v>
      </c>
      <c r="I214" s="705" t="str">
        <f>CONCATENATE("Összes teljesítés ",Z_TARTALOMJEGYZÉK!$A$1,". XII.31 -ig")</f>
        <v>Összes teljesítés 2020. XII.31 -ig</v>
      </c>
      <c r="J214" s="832"/>
    </row>
    <row r="215" spans="1:10" ht="13.5" thickBot="1">
      <c r="A215" s="855"/>
      <c r="B215" s="862"/>
      <c r="C215" s="867"/>
      <c r="D215" s="868" t="str">
        <f>CONCATENATE(Z_TARTALOMJEGYZÉK!$A$1,". évi")</f>
        <v>2020. évi</v>
      </c>
      <c r="E215" s="869"/>
      <c r="F215" s="870"/>
      <c r="G215" s="868" t="str">
        <f>CONCATENATE(Z_TARTALOMJEGYZÉK!$A$1,". után")</f>
        <v>2020. után</v>
      </c>
      <c r="H215" s="871"/>
      <c r="I215" s="870"/>
      <c r="J215" s="832"/>
    </row>
    <row r="216" spans="1:10" ht="13.5" thickBot="1">
      <c r="A216" s="706" t="s">
        <v>386</v>
      </c>
      <c r="B216" s="707" t="s">
        <v>859</v>
      </c>
      <c r="C216" s="708" t="s">
        <v>388</v>
      </c>
      <c r="D216" s="709" t="s">
        <v>390</v>
      </c>
      <c r="E216" s="709" t="s">
        <v>389</v>
      </c>
      <c r="F216" s="708" t="s">
        <v>391</v>
      </c>
      <c r="G216" s="708" t="s">
        <v>392</v>
      </c>
      <c r="H216" s="708" t="s">
        <v>393</v>
      </c>
      <c r="I216" s="710" t="s">
        <v>858</v>
      </c>
      <c r="J216" s="832"/>
    </row>
    <row r="217" spans="1:10" ht="12.75">
      <c r="A217" s="711" t="s">
        <v>84</v>
      </c>
      <c r="B217" s="737">
        <f aca="true" t="shared" si="36" ref="B217:B222">C217+E217+H217</f>
        <v>0</v>
      </c>
      <c r="C217" s="723"/>
      <c r="D217" s="724"/>
      <c r="E217" s="724"/>
      <c r="F217" s="734"/>
      <c r="G217" s="724"/>
      <c r="H217" s="725"/>
      <c r="I217" s="726">
        <f aca="true" t="shared" si="37" ref="I217:I222">C217+F217</f>
        <v>0</v>
      </c>
      <c r="J217" s="832"/>
    </row>
    <row r="218" spans="1:10" ht="12.75">
      <c r="A218" s="712" t="s">
        <v>95</v>
      </c>
      <c r="B218" s="738">
        <f t="shared" si="36"/>
        <v>0</v>
      </c>
      <c r="C218" s="727"/>
      <c r="D218" s="727"/>
      <c r="E218" s="728"/>
      <c r="F218" s="735"/>
      <c r="G218" s="727"/>
      <c r="H218" s="728"/>
      <c r="I218" s="729">
        <f t="shared" si="37"/>
        <v>0</v>
      </c>
      <c r="J218" s="832"/>
    </row>
    <row r="219" spans="1:10" ht="12.75">
      <c r="A219" s="713" t="s">
        <v>85</v>
      </c>
      <c r="B219" s="739">
        <f t="shared" si="36"/>
        <v>0</v>
      </c>
      <c r="C219" s="728"/>
      <c r="D219" s="728"/>
      <c r="E219" s="728"/>
      <c r="F219" s="736"/>
      <c r="G219" s="728"/>
      <c r="H219" s="728"/>
      <c r="I219" s="729">
        <f t="shared" si="37"/>
        <v>0</v>
      </c>
      <c r="J219" s="832"/>
    </row>
    <row r="220" spans="1:10" ht="12.75">
      <c r="A220" s="713" t="s">
        <v>96</v>
      </c>
      <c r="B220" s="739">
        <f t="shared" si="36"/>
        <v>0</v>
      </c>
      <c r="C220" s="728"/>
      <c r="D220" s="728"/>
      <c r="E220" s="728"/>
      <c r="F220" s="736"/>
      <c r="G220" s="728"/>
      <c r="H220" s="728"/>
      <c r="I220" s="729">
        <f t="shared" si="37"/>
        <v>0</v>
      </c>
      <c r="J220" s="832"/>
    </row>
    <row r="221" spans="1:10" ht="12.75">
      <c r="A221" s="713" t="s">
        <v>86</v>
      </c>
      <c r="B221" s="739">
        <f t="shared" si="36"/>
        <v>0</v>
      </c>
      <c r="C221" s="728"/>
      <c r="D221" s="728"/>
      <c r="E221" s="728"/>
      <c r="F221" s="736"/>
      <c r="G221" s="728"/>
      <c r="H221" s="728"/>
      <c r="I221" s="729">
        <f t="shared" si="37"/>
        <v>0</v>
      </c>
      <c r="J221" s="832"/>
    </row>
    <row r="222" spans="1:10" ht="13.5" thickBot="1">
      <c r="A222" s="713" t="s">
        <v>87</v>
      </c>
      <c r="B222" s="739">
        <f t="shared" si="36"/>
        <v>0</v>
      </c>
      <c r="C222" s="728"/>
      <c r="D222" s="728"/>
      <c r="E222" s="728"/>
      <c r="F222" s="736"/>
      <c r="G222" s="728"/>
      <c r="H222" s="728"/>
      <c r="I222" s="729">
        <f t="shared" si="37"/>
        <v>0</v>
      </c>
      <c r="J222" s="832"/>
    </row>
    <row r="223" spans="1:10" ht="13.5" thickBot="1">
      <c r="A223" s="714" t="s">
        <v>88</v>
      </c>
      <c r="B223" s="740">
        <f aca="true" t="shared" si="38" ref="B223:I223">B217+SUM(B219:B222)</f>
        <v>0</v>
      </c>
      <c r="C223" s="730">
        <f t="shared" si="38"/>
        <v>0</v>
      </c>
      <c r="D223" s="730">
        <f t="shared" si="38"/>
        <v>0</v>
      </c>
      <c r="E223" s="730">
        <f t="shared" si="38"/>
        <v>0</v>
      </c>
      <c r="F223" s="730">
        <f t="shared" si="38"/>
        <v>0</v>
      </c>
      <c r="G223" s="730">
        <f t="shared" si="38"/>
        <v>0</v>
      </c>
      <c r="H223" s="730">
        <f t="shared" si="38"/>
        <v>0</v>
      </c>
      <c r="I223" s="731">
        <f t="shared" si="38"/>
        <v>0</v>
      </c>
      <c r="J223" s="832"/>
    </row>
    <row r="224" spans="1:10" ht="12.75">
      <c r="A224" s="715" t="s">
        <v>91</v>
      </c>
      <c r="B224" s="737">
        <f>C224+E224+H224</f>
        <v>0</v>
      </c>
      <c r="C224" s="724"/>
      <c r="D224" s="724"/>
      <c r="E224" s="724"/>
      <c r="F224" s="724"/>
      <c r="G224" s="724"/>
      <c r="H224" s="724"/>
      <c r="I224" s="726">
        <f>C224+F224</f>
        <v>0</v>
      </c>
      <c r="J224" s="832"/>
    </row>
    <row r="225" spans="1:10" ht="12.75">
      <c r="A225" s="716" t="s">
        <v>92</v>
      </c>
      <c r="B225" s="739">
        <f>C225+E225+H225</f>
        <v>0</v>
      </c>
      <c r="C225" s="728"/>
      <c r="D225" s="728"/>
      <c r="E225" s="728"/>
      <c r="F225" s="728"/>
      <c r="G225" s="728"/>
      <c r="H225" s="728"/>
      <c r="I225" s="729">
        <f>C225+F225</f>
        <v>0</v>
      </c>
      <c r="J225" s="832"/>
    </row>
    <row r="226" spans="1:10" ht="12.75">
      <c r="A226" s="716" t="s">
        <v>93</v>
      </c>
      <c r="B226" s="739">
        <f>C226+E226+H226</f>
        <v>0</v>
      </c>
      <c r="C226" s="728"/>
      <c r="D226" s="728"/>
      <c r="E226" s="728"/>
      <c r="F226" s="728"/>
      <c r="G226" s="728"/>
      <c r="H226" s="728"/>
      <c r="I226" s="729">
        <f>C226+F226</f>
        <v>0</v>
      </c>
      <c r="J226" s="832"/>
    </row>
    <row r="227" spans="1:10" ht="12.75">
      <c r="A227" s="716" t="s">
        <v>94</v>
      </c>
      <c r="B227" s="739">
        <f>C227+E227+H227</f>
        <v>0</v>
      </c>
      <c r="C227" s="728"/>
      <c r="D227" s="728"/>
      <c r="E227" s="728"/>
      <c r="F227" s="728"/>
      <c r="G227" s="728"/>
      <c r="H227" s="728"/>
      <c r="I227" s="729">
        <f>C227+F227</f>
        <v>0</v>
      </c>
      <c r="J227" s="832"/>
    </row>
    <row r="228" spans="1:10" ht="13.5" thickBot="1">
      <c r="A228" s="717"/>
      <c r="B228" s="741">
        <f>C228+E228+H228</f>
        <v>0</v>
      </c>
      <c r="C228" s="732"/>
      <c r="D228" s="732"/>
      <c r="E228" s="728"/>
      <c r="F228" s="732"/>
      <c r="G228" s="732"/>
      <c r="H228" s="728"/>
      <c r="I228" s="733">
        <f>C228+F228</f>
        <v>0</v>
      </c>
      <c r="J228" s="832"/>
    </row>
    <row r="229" spans="1:10" ht="13.5" thickBot="1">
      <c r="A229" s="718" t="s">
        <v>74</v>
      </c>
      <c r="B229" s="740">
        <f aca="true" t="shared" si="39" ref="B229:I229">SUM(B224:B228)</f>
        <v>0</v>
      </c>
      <c r="C229" s="730">
        <f t="shared" si="39"/>
        <v>0</v>
      </c>
      <c r="D229" s="730">
        <f t="shared" si="39"/>
        <v>0</v>
      </c>
      <c r="E229" s="730">
        <f t="shared" si="39"/>
        <v>0</v>
      </c>
      <c r="F229" s="730">
        <f t="shared" si="39"/>
        <v>0</v>
      </c>
      <c r="G229" s="730">
        <f t="shared" si="39"/>
        <v>0</v>
      </c>
      <c r="H229" s="730">
        <f t="shared" si="39"/>
        <v>0</v>
      </c>
      <c r="I229" s="731">
        <f t="shared" si="39"/>
        <v>0</v>
      </c>
      <c r="J229" s="832"/>
    </row>
    <row r="230" ht="12.75">
      <c r="J230" s="832"/>
    </row>
    <row r="231" ht="12.75">
      <c r="J231" s="832"/>
    </row>
  </sheetData>
  <sheetProtection/>
  <mergeCells count="120">
    <mergeCell ref="J210:J231"/>
    <mergeCell ref="H211:I211"/>
    <mergeCell ref="A212:A215"/>
    <mergeCell ref="B212:I212"/>
    <mergeCell ref="B213:B215"/>
    <mergeCell ref="C213:I213"/>
    <mergeCell ref="C214:C215"/>
    <mergeCell ref="D215:F215"/>
    <mergeCell ref="G215:I215"/>
    <mergeCell ref="C191:I191"/>
    <mergeCell ref="C192:C193"/>
    <mergeCell ref="D193:F193"/>
    <mergeCell ref="G193:I193"/>
    <mergeCell ref="A210:B210"/>
    <mergeCell ref="C210:I210"/>
    <mergeCell ref="C170:C171"/>
    <mergeCell ref="D171:F171"/>
    <mergeCell ref="G171:I171"/>
    <mergeCell ref="A188:B188"/>
    <mergeCell ref="C188:I188"/>
    <mergeCell ref="J188:J209"/>
    <mergeCell ref="H189:I189"/>
    <mergeCell ref="A190:A193"/>
    <mergeCell ref="B190:I190"/>
    <mergeCell ref="B191:B193"/>
    <mergeCell ref="D149:F149"/>
    <mergeCell ref="G149:I149"/>
    <mergeCell ref="A166:B166"/>
    <mergeCell ref="C166:I166"/>
    <mergeCell ref="J166:J187"/>
    <mergeCell ref="H167:I167"/>
    <mergeCell ref="A168:A171"/>
    <mergeCell ref="B168:I168"/>
    <mergeCell ref="B169:B171"/>
    <mergeCell ref="C169:I169"/>
    <mergeCell ref="G127:I127"/>
    <mergeCell ref="A144:B144"/>
    <mergeCell ref="C144:I144"/>
    <mergeCell ref="J144:J165"/>
    <mergeCell ref="H145:I145"/>
    <mergeCell ref="A146:A149"/>
    <mergeCell ref="B146:I146"/>
    <mergeCell ref="B147:B149"/>
    <mergeCell ref="C147:I147"/>
    <mergeCell ref="C148:C149"/>
    <mergeCell ref="A122:B122"/>
    <mergeCell ref="C122:I122"/>
    <mergeCell ref="J122:J143"/>
    <mergeCell ref="H123:I123"/>
    <mergeCell ref="A124:A127"/>
    <mergeCell ref="B124:I124"/>
    <mergeCell ref="B125:B127"/>
    <mergeCell ref="C125:I125"/>
    <mergeCell ref="C126:C127"/>
    <mergeCell ref="D127:F127"/>
    <mergeCell ref="J100:J121"/>
    <mergeCell ref="H101:I101"/>
    <mergeCell ref="A102:A105"/>
    <mergeCell ref="B102:I102"/>
    <mergeCell ref="B103:B105"/>
    <mergeCell ref="C103:I103"/>
    <mergeCell ref="C104:C105"/>
    <mergeCell ref="D105:F105"/>
    <mergeCell ref="G105:I105"/>
    <mergeCell ref="C81:I81"/>
    <mergeCell ref="C82:C83"/>
    <mergeCell ref="D83:F83"/>
    <mergeCell ref="G83:I83"/>
    <mergeCell ref="A100:B100"/>
    <mergeCell ref="C100:I100"/>
    <mergeCell ref="C60:C61"/>
    <mergeCell ref="D61:F61"/>
    <mergeCell ref="G61:I61"/>
    <mergeCell ref="A78:B78"/>
    <mergeCell ref="C78:I78"/>
    <mergeCell ref="J78:J99"/>
    <mergeCell ref="H79:I79"/>
    <mergeCell ref="A80:A83"/>
    <mergeCell ref="B80:I80"/>
    <mergeCell ref="B81:B83"/>
    <mergeCell ref="D39:F39"/>
    <mergeCell ref="G39:I39"/>
    <mergeCell ref="A56:B56"/>
    <mergeCell ref="C56:I56"/>
    <mergeCell ref="J56:J77"/>
    <mergeCell ref="H57:I57"/>
    <mergeCell ref="A58:A61"/>
    <mergeCell ref="B58:I58"/>
    <mergeCell ref="B59:B61"/>
    <mergeCell ref="C59:I59"/>
    <mergeCell ref="A32:I32"/>
    <mergeCell ref="A34:B34"/>
    <mergeCell ref="C34:I34"/>
    <mergeCell ref="J34:J55"/>
    <mergeCell ref="H35:I35"/>
    <mergeCell ref="A36:A39"/>
    <mergeCell ref="B36:I36"/>
    <mergeCell ref="B37:B39"/>
    <mergeCell ref="C37:I37"/>
    <mergeCell ref="C38:C39"/>
    <mergeCell ref="A12:B12"/>
    <mergeCell ref="C12:I12"/>
    <mergeCell ref="H13:I13"/>
    <mergeCell ref="A14:A17"/>
    <mergeCell ref="B14:I14"/>
    <mergeCell ref="B15:B17"/>
    <mergeCell ref="C15:I15"/>
    <mergeCell ref="C16:C17"/>
    <mergeCell ref="D17:F17"/>
    <mergeCell ref="G17:I17"/>
    <mergeCell ref="A1:I1"/>
    <mergeCell ref="J1:J33"/>
    <mergeCell ref="A9:I9"/>
    <mergeCell ref="A10:I10"/>
    <mergeCell ref="A2:I2"/>
    <mergeCell ref="H3:I3"/>
    <mergeCell ref="A4:F4"/>
    <mergeCell ref="A5:F5"/>
    <mergeCell ref="A6:F6"/>
    <mergeCell ref="A7:F7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85" r:id="rId1"/>
  <headerFooter alignWithMargins="0">
    <oddHeader>&amp;C&amp;"Times New Roman CE,Félkövér"&amp;12
</oddHeader>
  </headerFooter>
  <rowBreaks count="9" manualBreakCount="9">
    <brk id="33" max="255" man="1"/>
    <brk id="55" max="255" man="1"/>
    <brk id="77" max="255" man="1"/>
    <brk id="99" max="255" man="1"/>
    <brk id="121" max="255" man="1"/>
    <brk id="143" max="255" man="1"/>
    <brk id="165" max="255" man="1"/>
    <brk id="187" max="255" man="1"/>
    <brk id="20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B2" sqref="B2:D2"/>
    </sheetView>
  </sheetViews>
  <sheetFormatPr defaultColWidth="9.00390625" defaultRowHeight="12.75"/>
  <cols>
    <col min="1" max="1" width="16.125" style="159" customWidth="1"/>
    <col min="2" max="2" width="63.875" style="160" customWidth="1"/>
    <col min="3" max="3" width="14.125" style="161" customWidth="1"/>
    <col min="4" max="5" width="14.125" style="2" customWidth="1"/>
    <col min="6" max="6" width="9.375" style="2" customWidth="1"/>
    <col min="7" max="7" width="13.00390625" style="2" bestFit="1" customWidth="1"/>
    <col min="8" max="16384" width="9.375" style="2" customWidth="1"/>
  </cols>
  <sheetData>
    <row r="1" spans="1:5" s="1" customFormat="1" ht="16.5" customHeight="1" thickBot="1">
      <c r="A1" s="321"/>
      <c r="B1" s="877" t="str">
        <f>CONCATENATE("10. melléklet ",Z_ALAPADATOK!A7," ",Z_ALAPADATOK!B7," ",Z_ALAPADATOK!C7," ",Z_ALAPADATOK!D7," ",Z_ALAPADATOK!E7," ",Z_ALAPADATOK!F7," ",Z_ALAPADATOK!G7," ",Z_ALAPADATOK!H7)</f>
        <v>10. melléklet a 8 / 2021. ( V.25 ) önkormányzati rendelethez</v>
      </c>
      <c r="C1" s="878"/>
      <c r="D1" s="878"/>
      <c r="E1" s="878"/>
    </row>
    <row r="2" spans="1:5" s="50" customFormat="1" ht="21" customHeight="1" thickBot="1">
      <c r="A2" s="330" t="s">
        <v>44</v>
      </c>
      <c r="B2" s="876" t="str">
        <f>CONCATENATE(Z_ALAPADATOK!A3)</f>
        <v>BEKECS KÖZSÉG Önkormányzata</v>
      </c>
      <c r="C2" s="876"/>
      <c r="D2" s="876"/>
      <c r="E2" s="331" t="s">
        <v>38</v>
      </c>
    </row>
    <row r="3" spans="1:5" s="50" customFormat="1" ht="24.75" thickBot="1">
      <c r="A3" s="330" t="s">
        <v>135</v>
      </c>
      <c r="B3" s="876" t="s">
        <v>303</v>
      </c>
      <c r="C3" s="876"/>
      <c r="D3" s="876"/>
      <c r="E3" s="332" t="s">
        <v>38</v>
      </c>
    </row>
    <row r="4" spans="1:5" s="51" customFormat="1" ht="15.75" customHeight="1" thickBot="1">
      <c r="A4" s="324"/>
      <c r="B4" s="324"/>
      <c r="C4" s="325"/>
      <c r="D4" s="326"/>
      <c r="E4" s="335" t="str">
        <f>8!G4</f>
        <v> Forintban!</v>
      </c>
    </row>
    <row r="5" spans="1:5" ht="24.75" thickBot="1">
      <c r="A5" s="327" t="s">
        <v>136</v>
      </c>
      <c r="B5" s="328" t="s">
        <v>485</v>
      </c>
      <c r="C5" s="328" t="s">
        <v>450</v>
      </c>
      <c r="D5" s="329" t="s">
        <v>451</v>
      </c>
      <c r="E5" s="312" t="str">
        <f>+CONCATENATE("Teljesítés",CHAR(10),LEFT(Z_ÖSSZEFÜGGÉSEK!A6,4),". XII. 31.")</f>
        <v>Teljesítés
2020. XII. 31.</v>
      </c>
    </row>
    <row r="6" spans="1:5" s="46" customFormat="1" ht="12.75" customHeight="1" thickBot="1">
      <c r="A6" s="74" t="s">
        <v>386</v>
      </c>
      <c r="B6" s="75" t="s">
        <v>387</v>
      </c>
      <c r="C6" s="75" t="s">
        <v>388</v>
      </c>
      <c r="D6" s="283" t="s">
        <v>390</v>
      </c>
      <c r="E6" s="76" t="s">
        <v>389</v>
      </c>
    </row>
    <row r="7" spans="1:5" s="46" customFormat="1" ht="15.75" customHeight="1" thickBot="1">
      <c r="A7" s="873" t="s">
        <v>39</v>
      </c>
      <c r="B7" s="874"/>
      <c r="C7" s="874"/>
      <c r="D7" s="874"/>
      <c r="E7" s="875"/>
    </row>
    <row r="8" spans="1:5" s="46" customFormat="1" ht="12" customHeight="1" thickBot="1">
      <c r="A8" s="25" t="s">
        <v>6</v>
      </c>
      <c r="B8" s="19" t="s">
        <v>162</v>
      </c>
      <c r="C8" s="166">
        <f>+C9+C10+C11+C12+C13+C14</f>
        <v>192891415</v>
      </c>
      <c r="D8" s="250">
        <f>+D9+D10+D11+D12+D13+D14</f>
        <v>222651750</v>
      </c>
      <c r="E8" s="102">
        <f>+E9+E10+E11+E12+E13+E14</f>
        <v>222651750</v>
      </c>
    </row>
    <row r="9" spans="1:5" s="52" customFormat="1" ht="12" customHeight="1">
      <c r="A9" s="196" t="s">
        <v>63</v>
      </c>
      <c r="B9" s="179" t="s">
        <v>163</v>
      </c>
      <c r="C9" s="168">
        <v>69285800</v>
      </c>
      <c r="D9" s="251">
        <v>83332544</v>
      </c>
      <c r="E9" s="104">
        <v>83332544</v>
      </c>
    </row>
    <row r="10" spans="1:5" s="53" customFormat="1" ht="12" customHeight="1">
      <c r="A10" s="197" t="s">
        <v>64</v>
      </c>
      <c r="B10" s="180" t="s">
        <v>164</v>
      </c>
      <c r="C10" s="167">
        <v>70659100</v>
      </c>
      <c r="D10" s="252">
        <v>79185120</v>
      </c>
      <c r="E10" s="103">
        <v>79185120</v>
      </c>
    </row>
    <row r="11" spans="1:5" s="53" customFormat="1" ht="12" customHeight="1">
      <c r="A11" s="197" t="s">
        <v>65</v>
      </c>
      <c r="B11" s="180" t="s">
        <v>165</v>
      </c>
      <c r="C11" s="167">
        <v>49892824</v>
      </c>
      <c r="D11" s="252">
        <v>48973067</v>
      </c>
      <c r="E11" s="103">
        <v>48973067</v>
      </c>
    </row>
    <row r="12" spans="1:5" s="53" customFormat="1" ht="12" customHeight="1">
      <c r="A12" s="197" t="s">
        <v>66</v>
      </c>
      <c r="B12" s="180" t="s">
        <v>166</v>
      </c>
      <c r="C12" s="167">
        <v>3053691</v>
      </c>
      <c r="D12" s="252">
        <v>4397323</v>
      </c>
      <c r="E12" s="103">
        <v>4397323</v>
      </c>
    </row>
    <row r="13" spans="1:5" s="53" customFormat="1" ht="12" customHeight="1">
      <c r="A13" s="197" t="s">
        <v>97</v>
      </c>
      <c r="B13" s="180" t="s">
        <v>394</v>
      </c>
      <c r="C13" s="167"/>
      <c r="D13" s="252">
        <v>6663750</v>
      </c>
      <c r="E13" s="103">
        <v>6663750</v>
      </c>
    </row>
    <row r="14" spans="1:5" s="52" customFormat="1" ht="12" customHeight="1" thickBot="1">
      <c r="A14" s="198" t="s">
        <v>67</v>
      </c>
      <c r="B14" s="181" t="s">
        <v>335</v>
      </c>
      <c r="C14" s="167"/>
      <c r="D14" s="252">
        <v>99946</v>
      </c>
      <c r="E14" s="103">
        <v>99946</v>
      </c>
    </row>
    <row r="15" spans="1:5" s="52" customFormat="1" ht="12" customHeight="1" thickBot="1">
      <c r="A15" s="25" t="s">
        <v>7</v>
      </c>
      <c r="B15" s="109" t="s">
        <v>167</v>
      </c>
      <c r="C15" s="166">
        <f>+C16+C17+C18+C19+C20</f>
        <v>96178089</v>
      </c>
      <c r="D15" s="250">
        <f>+D16+D17+D18+D19+D20</f>
        <v>85009001</v>
      </c>
      <c r="E15" s="102">
        <f>+E16+E17+E18+E19+E20</f>
        <v>87682500</v>
      </c>
    </row>
    <row r="16" spans="1:5" s="52" customFormat="1" ht="12" customHeight="1">
      <c r="A16" s="196" t="s">
        <v>69</v>
      </c>
      <c r="B16" s="179" t="s">
        <v>168</v>
      </c>
      <c r="C16" s="168"/>
      <c r="D16" s="251">
        <v>2202842</v>
      </c>
      <c r="E16" s="104"/>
    </row>
    <row r="17" spans="1:5" s="52" customFormat="1" ht="12" customHeight="1">
      <c r="A17" s="197" t="s">
        <v>70</v>
      </c>
      <c r="B17" s="180" t="s">
        <v>169</v>
      </c>
      <c r="C17" s="167"/>
      <c r="D17" s="252"/>
      <c r="E17" s="103"/>
    </row>
    <row r="18" spans="1:5" s="52" customFormat="1" ht="12" customHeight="1">
      <c r="A18" s="197" t="s">
        <v>71</v>
      </c>
      <c r="B18" s="180" t="s">
        <v>326</v>
      </c>
      <c r="C18" s="167"/>
      <c r="D18" s="252"/>
      <c r="E18" s="103"/>
    </row>
    <row r="19" spans="1:5" s="52" customFormat="1" ht="12" customHeight="1">
      <c r="A19" s="197" t="s">
        <v>72</v>
      </c>
      <c r="B19" s="180" t="s">
        <v>327</v>
      </c>
      <c r="C19" s="167"/>
      <c r="D19" s="252"/>
      <c r="E19" s="103"/>
    </row>
    <row r="20" spans="1:5" s="52" customFormat="1" ht="12" customHeight="1">
      <c r="A20" s="197" t="s">
        <v>73</v>
      </c>
      <c r="B20" s="180" t="s">
        <v>170</v>
      </c>
      <c r="C20" s="167">
        <v>96178089</v>
      </c>
      <c r="D20" s="252">
        <v>82806159</v>
      </c>
      <c r="E20" s="103">
        <v>87682500</v>
      </c>
    </row>
    <row r="21" spans="1:5" s="53" customFormat="1" ht="12" customHeight="1" thickBot="1">
      <c r="A21" s="198" t="s">
        <v>80</v>
      </c>
      <c r="B21" s="181" t="s">
        <v>171</v>
      </c>
      <c r="C21" s="169"/>
      <c r="D21" s="253"/>
      <c r="E21" s="105"/>
    </row>
    <row r="22" spans="1:5" s="53" customFormat="1" ht="12" customHeight="1" thickBot="1">
      <c r="A22" s="25" t="s">
        <v>8</v>
      </c>
      <c r="B22" s="19" t="s">
        <v>172</v>
      </c>
      <c r="C22" s="166">
        <f>+C23+C24+C25+C26+C27</f>
        <v>4830488</v>
      </c>
      <c r="D22" s="250">
        <f>+D23+D24+D25+D26+D27</f>
        <v>22151088</v>
      </c>
      <c r="E22" s="102">
        <f>+E23+E24+E25+E26+E27</f>
        <v>44448258</v>
      </c>
    </row>
    <row r="23" spans="1:5" s="53" customFormat="1" ht="12" customHeight="1">
      <c r="A23" s="196" t="s">
        <v>52</v>
      </c>
      <c r="B23" s="179" t="s">
        <v>173</v>
      </c>
      <c r="C23" s="168"/>
      <c r="D23" s="251"/>
      <c r="E23" s="104"/>
    </row>
    <row r="24" spans="1:5" s="52" customFormat="1" ht="12" customHeight="1">
      <c r="A24" s="197" t="s">
        <v>53</v>
      </c>
      <c r="B24" s="180" t="s">
        <v>174</v>
      </c>
      <c r="C24" s="167"/>
      <c r="D24" s="252"/>
      <c r="E24" s="103"/>
    </row>
    <row r="25" spans="1:5" s="53" customFormat="1" ht="12" customHeight="1">
      <c r="A25" s="197" t="s">
        <v>54</v>
      </c>
      <c r="B25" s="180" t="s">
        <v>328</v>
      </c>
      <c r="C25" s="167"/>
      <c r="D25" s="252"/>
      <c r="E25" s="103"/>
    </row>
    <row r="26" spans="1:5" s="53" customFormat="1" ht="12" customHeight="1">
      <c r="A26" s="197" t="s">
        <v>55</v>
      </c>
      <c r="B26" s="180" t="s">
        <v>329</v>
      </c>
      <c r="C26" s="167"/>
      <c r="D26" s="252"/>
      <c r="E26" s="103"/>
    </row>
    <row r="27" spans="1:5" s="53" customFormat="1" ht="12" customHeight="1">
      <c r="A27" s="197" t="s">
        <v>110</v>
      </c>
      <c r="B27" s="180" t="s">
        <v>175</v>
      </c>
      <c r="C27" s="167">
        <v>4830488</v>
      </c>
      <c r="D27" s="252">
        <v>22151088</v>
      </c>
      <c r="E27" s="103">
        <v>44448258</v>
      </c>
    </row>
    <row r="28" spans="1:5" s="53" customFormat="1" ht="12" customHeight="1" thickBot="1">
      <c r="A28" s="198" t="s">
        <v>111</v>
      </c>
      <c r="B28" s="181" t="s">
        <v>176</v>
      </c>
      <c r="C28" s="169"/>
      <c r="D28" s="253"/>
      <c r="E28" s="105"/>
    </row>
    <row r="29" spans="1:5" s="53" customFormat="1" ht="12" customHeight="1" thickBot="1">
      <c r="A29" s="25" t="s">
        <v>112</v>
      </c>
      <c r="B29" s="19" t="s">
        <v>477</v>
      </c>
      <c r="C29" s="172">
        <f>SUM(C30:C36)</f>
        <v>68069393</v>
      </c>
      <c r="D29" s="172">
        <f>SUM(D30:D36)</f>
        <v>57069393</v>
      </c>
      <c r="E29" s="208">
        <f>SUM(E30:E36)</f>
        <v>58255048</v>
      </c>
    </row>
    <row r="30" spans="1:5" s="53" customFormat="1" ht="12" customHeight="1">
      <c r="A30" s="196" t="s">
        <v>177</v>
      </c>
      <c r="B30" s="179" t="str">
        <f>'1 '!B33</f>
        <v>Építményadó</v>
      </c>
      <c r="C30" s="168"/>
      <c r="D30" s="168"/>
      <c r="E30" s="104"/>
    </row>
    <row r="31" spans="1:5" s="53" customFormat="1" ht="12" customHeight="1">
      <c r="A31" s="197" t="s">
        <v>178</v>
      </c>
      <c r="B31" s="179" t="s">
        <v>900</v>
      </c>
      <c r="C31" s="167">
        <v>1000000</v>
      </c>
      <c r="D31" s="167">
        <v>1000000</v>
      </c>
      <c r="E31" s="103">
        <v>742140</v>
      </c>
    </row>
    <row r="32" spans="1:5" s="53" customFormat="1" ht="12" customHeight="1">
      <c r="A32" s="197" t="s">
        <v>179</v>
      </c>
      <c r="B32" s="179" t="str">
        <f>'1 '!B35</f>
        <v>Iparűzési adó</v>
      </c>
      <c r="C32" s="167">
        <v>55069393</v>
      </c>
      <c r="D32" s="167">
        <v>55069393</v>
      </c>
      <c r="E32" s="103">
        <v>57512908</v>
      </c>
    </row>
    <row r="33" spans="1:5" s="53" customFormat="1" ht="12" customHeight="1">
      <c r="A33" s="197" t="s">
        <v>180</v>
      </c>
      <c r="B33" s="179" t="str">
        <f>'1 '!B36</f>
        <v>Talajterhelési díj</v>
      </c>
      <c r="C33" s="167">
        <v>1000000</v>
      </c>
      <c r="D33" s="167">
        <v>1000000</v>
      </c>
      <c r="E33" s="103"/>
    </row>
    <row r="34" spans="1:5" s="53" customFormat="1" ht="12" customHeight="1">
      <c r="A34" s="197" t="s">
        <v>481</v>
      </c>
      <c r="B34" s="179" t="str">
        <f>'1 '!B37</f>
        <v>Gépjárműadó</v>
      </c>
      <c r="C34" s="167">
        <v>11000000</v>
      </c>
      <c r="D34" s="167"/>
      <c r="E34" s="103"/>
    </row>
    <row r="35" spans="1:5" s="53" customFormat="1" ht="12" customHeight="1">
      <c r="A35" s="197" t="s">
        <v>482</v>
      </c>
      <c r="B35" s="179" t="str">
        <f>'1 '!B38</f>
        <v>Telekadó</v>
      </c>
      <c r="C35" s="167"/>
      <c r="D35" s="167"/>
      <c r="E35" s="103"/>
    </row>
    <row r="36" spans="1:5" s="53" customFormat="1" ht="12" customHeight="1" thickBot="1">
      <c r="A36" s="198" t="s">
        <v>483</v>
      </c>
      <c r="B36" s="179" t="str">
        <f>'1 '!B39</f>
        <v>Kommunális adó</v>
      </c>
      <c r="C36" s="169"/>
      <c r="D36" s="169"/>
      <c r="E36" s="105"/>
    </row>
    <row r="37" spans="1:5" s="53" customFormat="1" ht="12" customHeight="1" thickBot="1">
      <c r="A37" s="25" t="s">
        <v>10</v>
      </c>
      <c r="B37" s="19" t="s">
        <v>336</v>
      </c>
      <c r="C37" s="166">
        <f>SUM(C38:C48)</f>
        <v>10090000</v>
      </c>
      <c r="D37" s="250">
        <f>SUM(D38:D48)</f>
        <v>16556781</v>
      </c>
      <c r="E37" s="102">
        <f>SUM(E38:E48)</f>
        <v>8974908</v>
      </c>
    </row>
    <row r="38" spans="1:5" s="53" customFormat="1" ht="12" customHeight="1">
      <c r="A38" s="196" t="s">
        <v>56</v>
      </c>
      <c r="B38" s="179" t="s">
        <v>184</v>
      </c>
      <c r="C38" s="168"/>
      <c r="D38" s="251"/>
      <c r="E38" s="104"/>
    </row>
    <row r="39" spans="1:5" s="53" customFormat="1" ht="12" customHeight="1">
      <c r="A39" s="197" t="s">
        <v>57</v>
      </c>
      <c r="B39" s="180" t="s">
        <v>185</v>
      </c>
      <c r="C39" s="167">
        <v>2000000</v>
      </c>
      <c r="D39" s="252">
        <v>5000000</v>
      </c>
      <c r="E39" s="103">
        <v>2208410</v>
      </c>
    </row>
    <row r="40" spans="1:5" s="53" customFormat="1" ht="12" customHeight="1">
      <c r="A40" s="197" t="s">
        <v>58</v>
      </c>
      <c r="B40" s="180" t="s">
        <v>186</v>
      </c>
      <c r="C40" s="167">
        <v>3300000</v>
      </c>
      <c r="D40" s="252">
        <v>3300000</v>
      </c>
      <c r="E40" s="103">
        <v>832762</v>
      </c>
    </row>
    <row r="41" spans="1:5" s="53" customFormat="1" ht="12" customHeight="1">
      <c r="A41" s="197" t="s">
        <v>114</v>
      </c>
      <c r="B41" s="180" t="s">
        <v>187</v>
      </c>
      <c r="C41" s="167"/>
      <c r="D41" s="252"/>
      <c r="E41" s="103"/>
    </row>
    <row r="42" spans="1:5" s="53" customFormat="1" ht="12" customHeight="1">
      <c r="A42" s="197" t="s">
        <v>115</v>
      </c>
      <c r="B42" s="180" t="s">
        <v>188</v>
      </c>
      <c r="C42" s="167">
        <v>3000000</v>
      </c>
      <c r="D42" s="252">
        <v>5731102</v>
      </c>
      <c r="E42" s="103">
        <v>4304912</v>
      </c>
    </row>
    <row r="43" spans="1:5" s="53" customFormat="1" ht="12" customHeight="1">
      <c r="A43" s="197" t="s">
        <v>116</v>
      </c>
      <c r="B43" s="180" t="s">
        <v>189</v>
      </c>
      <c r="C43" s="167">
        <v>1540000</v>
      </c>
      <c r="D43" s="252">
        <v>2275679</v>
      </c>
      <c r="E43" s="103">
        <v>1468073</v>
      </c>
    </row>
    <row r="44" spans="1:5" s="53" customFormat="1" ht="12" customHeight="1">
      <c r="A44" s="197" t="s">
        <v>117</v>
      </c>
      <c r="B44" s="180" t="s">
        <v>190</v>
      </c>
      <c r="C44" s="167"/>
      <c r="D44" s="252"/>
      <c r="E44" s="103"/>
    </row>
    <row r="45" spans="1:5" s="53" customFormat="1" ht="12" customHeight="1">
      <c r="A45" s="197" t="s">
        <v>118</v>
      </c>
      <c r="B45" s="180" t="s">
        <v>484</v>
      </c>
      <c r="C45" s="167">
        <v>150000</v>
      </c>
      <c r="D45" s="252">
        <v>150000</v>
      </c>
      <c r="E45" s="103">
        <v>102275</v>
      </c>
    </row>
    <row r="46" spans="1:5" s="53" customFormat="1" ht="12" customHeight="1">
      <c r="A46" s="197" t="s">
        <v>182</v>
      </c>
      <c r="B46" s="180" t="s">
        <v>192</v>
      </c>
      <c r="C46" s="170"/>
      <c r="D46" s="284"/>
      <c r="E46" s="106"/>
    </row>
    <row r="47" spans="1:5" s="53" customFormat="1" ht="12" customHeight="1">
      <c r="A47" s="198" t="s">
        <v>183</v>
      </c>
      <c r="B47" s="181" t="s">
        <v>338</v>
      </c>
      <c r="C47" s="171"/>
      <c r="D47" s="285"/>
      <c r="E47" s="107"/>
    </row>
    <row r="48" spans="1:5" s="53" customFormat="1" ht="12" customHeight="1" thickBot="1">
      <c r="A48" s="198" t="s">
        <v>337</v>
      </c>
      <c r="B48" s="181" t="s">
        <v>193</v>
      </c>
      <c r="C48" s="171">
        <v>100000</v>
      </c>
      <c r="D48" s="285">
        <v>100000</v>
      </c>
      <c r="E48" s="107">
        <v>58476</v>
      </c>
    </row>
    <row r="49" spans="1:5" s="53" customFormat="1" ht="12" customHeight="1" thickBot="1">
      <c r="A49" s="25" t="s">
        <v>11</v>
      </c>
      <c r="B49" s="19" t="s">
        <v>194</v>
      </c>
      <c r="C49" s="166">
        <f>SUM(C50:C54)</f>
        <v>0</v>
      </c>
      <c r="D49" s="250">
        <f>SUM(D50:D54)</f>
        <v>6200000</v>
      </c>
      <c r="E49" s="102">
        <f>SUM(E50:E54)</f>
        <v>2266874</v>
      </c>
    </row>
    <row r="50" spans="1:5" s="53" customFormat="1" ht="12" customHeight="1">
      <c r="A50" s="196" t="s">
        <v>59</v>
      </c>
      <c r="B50" s="179" t="s">
        <v>198</v>
      </c>
      <c r="C50" s="219"/>
      <c r="D50" s="286"/>
      <c r="E50" s="108"/>
    </row>
    <row r="51" spans="1:5" s="53" customFormat="1" ht="12" customHeight="1">
      <c r="A51" s="197" t="s">
        <v>60</v>
      </c>
      <c r="B51" s="180" t="s">
        <v>199</v>
      </c>
      <c r="C51" s="170"/>
      <c r="D51" s="284">
        <v>6200000</v>
      </c>
      <c r="E51" s="106">
        <v>2266874</v>
      </c>
    </row>
    <row r="52" spans="1:5" s="53" customFormat="1" ht="12" customHeight="1">
      <c r="A52" s="197" t="s">
        <v>195</v>
      </c>
      <c r="B52" s="180" t="s">
        <v>200</v>
      </c>
      <c r="C52" s="170"/>
      <c r="D52" s="284"/>
      <c r="E52" s="106"/>
    </row>
    <row r="53" spans="1:5" s="53" customFormat="1" ht="12" customHeight="1">
      <c r="A53" s="197" t="s">
        <v>196</v>
      </c>
      <c r="B53" s="180" t="s">
        <v>201</v>
      </c>
      <c r="C53" s="170"/>
      <c r="D53" s="284"/>
      <c r="E53" s="106"/>
    </row>
    <row r="54" spans="1:5" s="53" customFormat="1" ht="12" customHeight="1" thickBot="1">
      <c r="A54" s="198" t="s">
        <v>197</v>
      </c>
      <c r="B54" s="181" t="s">
        <v>202</v>
      </c>
      <c r="C54" s="171"/>
      <c r="D54" s="285"/>
      <c r="E54" s="107"/>
    </row>
    <row r="55" spans="1:5" s="53" customFormat="1" ht="12" customHeight="1" thickBot="1">
      <c r="A55" s="25" t="s">
        <v>119</v>
      </c>
      <c r="B55" s="19" t="s">
        <v>203</v>
      </c>
      <c r="C55" s="166">
        <f>SUM(C56:C58)</f>
        <v>0</v>
      </c>
      <c r="D55" s="250">
        <f>SUM(D56:D58)</f>
        <v>0</v>
      </c>
      <c r="E55" s="102">
        <f>SUM(E56:E58)</f>
        <v>0</v>
      </c>
    </row>
    <row r="56" spans="1:5" s="53" customFormat="1" ht="12" customHeight="1">
      <c r="A56" s="196" t="s">
        <v>61</v>
      </c>
      <c r="B56" s="179" t="s">
        <v>204</v>
      </c>
      <c r="C56" s="168"/>
      <c r="D56" s="251"/>
      <c r="E56" s="104"/>
    </row>
    <row r="57" spans="1:5" s="53" customFormat="1" ht="12" customHeight="1">
      <c r="A57" s="197" t="s">
        <v>62</v>
      </c>
      <c r="B57" s="180" t="s">
        <v>330</v>
      </c>
      <c r="C57" s="167"/>
      <c r="D57" s="252"/>
      <c r="E57" s="103"/>
    </row>
    <row r="58" spans="1:5" s="53" customFormat="1" ht="12" customHeight="1">
      <c r="A58" s="197" t="s">
        <v>207</v>
      </c>
      <c r="B58" s="180" t="s">
        <v>205</v>
      </c>
      <c r="C58" s="167"/>
      <c r="D58" s="252"/>
      <c r="E58" s="103"/>
    </row>
    <row r="59" spans="1:5" s="53" customFormat="1" ht="12" customHeight="1" thickBot="1">
      <c r="A59" s="198" t="s">
        <v>208</v>
      </c>
      <c r="B59" s="181" t="s">
        <v>206</v>
      </c>
      <c r="C59" s="169"/>
      <c r="D59" s="253"/>
      <c r="E59" s="105"/>
    </row>
    <row r="60" spans="1:5" s="53" customFormat="1" ht="12" customHeight="1" thickBot="1">
      <c r="A60" s="25" t="s">
        <v>13</v>
      </c>
      <c r="B60" s="109" t="s">
        <v>209</v>
      </c>
      <c r="C60" s="166">
        <f>SUM(C61:C63)</f>
        <v>2936000</v>
      </c>
      <c r="D60" s="250">
        <f>SUM(D61:D63)</f>
        <v>2936000</v>
      </c>
      <c r="E60" s="102">
        <f>SUM(E61:E63)</f>
        <v>0</v>
      </c>
    </row>
    <row r="61" spans="1:5" s="53" customFormat="1" ht="12" customHeight="1">
      <c r="A61" s="196" t="s">
        <v>120</v>
      </c>
      <c r="B61" s="179" t="s">
        <v>211</v>
      </c>
      <c r="C61" s="170"/>
      <c r="D61" s="284"/>
      <c r="E61" s="106"/>
    </row>
    <row r="62" spans="1:5" s="53" customFormat="1" ht="12" customHeight="1">
      <c r="A62" s="197" t="s">
        <v>121</v>
      </c>
      <c r="B62" s="180" t="s">
        <v>331</v>
      </c>
      <c r="C62" s="170"/>
      <c r="D62" s="284"/>
      <c r="E62" s="106"/>
    </row>
    <row r="63" spans="1:5" s="53" customFormat="1" ht="12" customHeight="1">
      <c r="A63" s="197" t="s">
        <v>144</v>
      </c>
      <c r="B63" s="180" t="s">
        <v>212</v>
      </c>
      <c r="C63" s="170">
        <v>2936000</v>
      </c>
      <c r="D63" s="284">
        <v>2936000</v>
      </c>
      <c r="E63" s="106"/>
    </row>
    <row r="64" spans="1:5" s="53" customFormat="1" ht="12" customHeight="1" thickBot="1">
      <c r="A64" s="198" t="s">
        <v>210</v>
      </c>
      <c r="B64" s="181" t="s">
        <v>213</v>
      </c>
      <c r="C64" s="170"/>
      <c r="D64" s="284"/>
      <c r="E64" s="106"/>
    </row>
    <row r="65" spans="1:5" s="53" customFormat="1" ht="12" customHeight="1" thickBot="1">
      <c r="A65" s="25" t="s">
        <v>14</v>
      </c>
      <c r="B65" s="19" t="s">
        <v>214</v>
      </c>
      <c r="C65" s="172">
        <f>+C8+C15+C22+C29+C37+C49+C55+C60</f>
        <v>374995385</v>
      </c>
      <c r="D65" s="254">
        <f>+D8+D15+D22+D29+D37+D49+D55+D60</f>
        <v>412574013</v>
      </c>
      <c r="E65" s="208">
        <f>+E8+E15+E22+E29+E37+E49+E55+E60</f>
        <v>424279338</v>
      </c>
    </row>
    <row r="66" spans="1:5" s="53" customFormat="1" ht="12" customHeight="1" thickBot="1">
      <c r="A66" s="199" t="s">
        <v>299</v>
      </c>
      <c r="B66" s="109" t="s">
        <v>216</v>
      </c>
      <c r="C66" s="166">
        <f>SUM(C67:C69)</f>
        <v>0</v>
      </c>
      <c r="D66" s="250">
        <f>SUM(D67:D69)</f>
        <v>0</v>
      </c>
      <c r="E66" s="102">
        <f>SUM(E67:E69)</f>
        <v>0</v>
      </c>
    </row>
    <row r="67" spans="1:5" s="53" customFormat="1" ht="12" customHeight="1">
      <c r="A67" s="196" t="s">
        <v>244</v>
      </c>
      <c r="B67" s="179" t="s">
        <v>217</v>
      </c>
      <c r="C67" s="170"/>
      <c r="D67" s="284"/>
      <c r="E67" s="106"/>
    </row>
    <row r="68" spans="1:5" s="53" customFormat="1" ht="12" customHeight="1">
      <c r="A68" s="197" t="s">
        <v>253</v>
      </c>
      <c r="B68" s="180" t="s">
        <v>218</v>
      </c>
      <c r="C68" s="170"/>
      <c r="D68" s="284"/>
      <c r="E68" s="106"/>
    </row>
    <row r="69" spans="1:5" s="53" customFormat="1" ht="12" customHeight="1" thickBot="1">
      <c r="A69" s="206" t="s">
        <v>254</v>
      </c>
      <c r="B69" s="318" t="s">
        <v>363</v>
      </c>
      <c r="C69" s="319"/>
      <c r="D69" s="287"/>
      <c r="E69" s="320"/>
    </row>
    <row r="70" spans="1:5" s="53" customFormat="1" ht="12" customHeight="1" thickBot="1">
      <c r="A70" s="199" t="s">
        <v>220</v>
      </c>
      <c r="B70" s="109" t="s">
        <v>221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3" customFormat="1" ht="12" customHeight="1">
      <c r="A71" s="196" t="s">
        <v>98</v>
      </c>
      <c r="B71" s="305" t="s">
        <v>222</v>
      </c>
      <c r="C71" s="170"/>
      <c r="D71" s="170"/>
      <c r="E71" s="106"/>
    </row>
    <row r="72" spans="1:5" s="53" customFormat="1" ht="12" customHeight="1">
      <c r="A72" s="197" t="s">
        <v>99</v>
      </c>
      <c r="B72" s="305" t="s">
        <v>491</v>
      </c>
      <c r="C72" s="170"/>
      <c r="D72" s="170"/>
      <c r="E72" s="106"/>
    </row>
    <row r="73" spans="1:5" s="53" customFormat="1" ht="12" customHeight="1">
      <c r="A73" s="197" t="s">
        <v>245</v>
      </c>
      <c r="B73" s="305" t="s">
        <v>223</v>
      </c>
      <c r="C73" s="170"/>
      <c r="D73" s="170"/>
      <c r="E73" s="106"/>
    </row>
    <row r="74" spans="1:5" s="53" customFormat="1" ht="12" customHeight="1" thickBot="1">
      <c r="A74" s="198" t="s">
        <v>246</v>
      </c>
      <c r="B74" s="306" t="s">
        <v>492</v>
      </c>
      <c r="C74" s="170"/>
      <c r="D74" s="170"/>
      <c r="E74" s="106"/>
    </row>
    <row r="75" spans="1:5" s="53" customFormat="1" ht="12" customHeight="1" thickBot="1">
      <c r="A75" s="199" t="s">
        <v>224</v>
      </c>
      <c r="B75" s="109" t="s">
        <v>225</v>
      </c>
      <c r="C75" s="166">
        <f>SUM(C76:C77)</f>
        <v>203503064</v>
      </c>
      <c r="D75" s="166">
        <f>SUM(D76:D77)</f>
        <v>203820726</v>
      </c>
      <c r="E75" s="102">
        <f>SUM(E76:E77)</f>
        <v>212872596</v>
      </c>
    </row>
    <row r="76" spans="1:5" s="53" customFormat="1" ht="12" customHeight="1">
      <c r="A76" s="196" t="s">
        <v>247</v>
      </c>
      <c r="B76" s="179" t="s">
        <v>226</v>
      </c>
      <c r="C76" s="170">
        <v>203503064</v>
      </c>
      <c r="D76" s="170">
        <v>203820726</v>
      </c>
      <c r="E76" s="106">
        <v>212872596</v>
      </c>
    </row>
    <row r="77" spans="1:5" s="53" customFormat="1" ht="12" customHeight="1" thickBot="1">
      <c r="A77" s="198" t="s">
        <v>248</v>
      </c>
      <c r="B77" s="181" t="s">
        <v>227</v>
      </c>
      <c r="C77" s="170"/>
      <c r="D77" s="170"/>
      <c r="E77" s="106"/>
    </row>
    <row r="78" spans="1:5" s="52" customFormat="1" ht="12" customHeight="1" thickBot="1">
      <c r="A78" s="199" t="s">
        <v>228</v>
      </c>
      <c r="B78" s="109" t="s">
        <v>229</v>
      </c>
      <c r="C78" s="166">
        <f>SUM(C79:C81)</f>
        <v>0</v>
      </c>
      <c r="D78" s="166">
        <f>SUM(D79:D81)</f>
        <v>0</v>
      </c>
      <c r="E78" s="102">
        <f>SUM(E79:E81)</f>
        <v>9042854</v>
      </c>
    </row>
    <row r="79" spans="1:5" s="53" customFormat="1" ht="12" customHeight="1">
      <c r="A79" s="196" t="s">
        <v>249</v>
      </c>
      <c r="B79" s="179" t="s">
        <v>230</v>
      </c>
      <c r="C79" s="170"/>
      <c r="D79" s="170"/>
      <c r="E79" s="106">
        <v>9042854</v>
      </c>
    </row>
    <row r="80" spans="1:5" s="53" customFormat="1" ht="12" customHeight="1">
      <c r="A80" s="197" t="s">
        <v>250</v>
      </c>
      <c r="B80" s="180" t="s">
        <v>231</v>
      </c>
      <c r="C80" s="170"/>
      <c r="D80" s="170"/>
      <c r="E80" s="106"/>
    </row>
    <row r="81" spans="1:5" s="53" customFormat="1" ht="12" customHeight="1" thickBot="1">
      <c r="A81" s="198" t="s">
        <v>251</v>
      </c>
      <c r="B81" s="181" t="s">
        <v>493</v>
      </c>
      <c r="C81" s="170"/>
      <c r="D81" s="170"/>
      <c r="E81" s="106"/>
    </row>
    <row r="82" spans="1:5" s="53" customFormat="1" ht="12" customHeight="1" thickBot="1">
      <c r="A82" s="199" t="s">
        <v>232</v>
      </c>
      <c r="B82" s="109" t="s">
        <v>252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3" customFormat="1" ht="12" customHeight="1">
      <c r="A83" s="200" t="s">
        <v>233</v>
      </c>
      <c r="B83" s="179" t="s">
        <v>234</v>
      </c>
      <c r="C83" s="170"/>
      <c r="D83" s="170"/>
      <c r="E83" s="106"/>
    </row>
    <row r="84" spans="1:5" s="53" customFormat="1" ht="12" customHeight="1">
      <c r="A84" s="201" t="s">
        <v>235</v>
      </c>
      <c r="B84" s="180" t="s">
        <v>236</v>
      </c>
      <c r="C84" s="170"/>
      <c r="D84" s="170"/>
      <c r="E84" s="106"/>
    </row>
    <row r="85" spans="1:5" s="53" customFormat="1" ht="12" customHeight="1">
      <c r="A85" s="201" t="s">
        <v>237</v>
      </c>
      <c r="B85" s="180" t="s">
        <v>238</v>
      </c>
      <c r="C85" s="170"/>
      <c r="D85" s="170"/>
      <c r="E85" s="106"/>
    </row>
    <row r="86" spans="1:5" s="52" customFormat="1" ht="12" customHeight="1" thickBot="1">
      <c r="A86" s="202" t="s">
        <v>239</v>
      </c>
      <c r="B86" s="181" t="s">
        <v>240</v>
      </c>
      <c r="C86" s="170"/>
      <c r="D86" s="170"/>
      <c r="E86" s="106"/>
    </row>
    <row r="87" spans="1:5" s="52" customFormat="1" ht="12" customHeight="1" thickBot="1">
      <c r="A87" s="199" t="s">
        <v>241</v>
      </c>
      <c r="B87" s="109" t="s">
        <v>377</v>
      </c>
      <c r="C87" s="222"/>
      <c r="D87" s="222"/>
      <c r="E87" s="223"/>
    </row>
    <row r="88" spans="1:5" s="52" customFormat="1" ht="12" customHeight="1" thickBot="1">
      <c r="A88" s="199" t="s">
        <v>395</v>
      </c>
      <c r="B88" s="109" t="s">
        <v>242</v>
      </c>
      <c r="C88" s="222"/>
      <c r="D88" s="222"/>
      <c r="E88" s="223"/>
    </row>
    <row r="89" spans="1:5" s="52" customFormat="1" ht="12" customHeight="1" thickBot="1">
      <c r="A89" s="199" t="s">
        <v>396</v>
      </c>
      <c r="B89" s="186" t="s">
        <v>380</v>
      </c>
      <c r="C89" s="172">
        <f>+C66+C70+C75+C78+C82+C88+C87</f>
        <v>203503064</v>
      </c>
      <c r="D89" s="172">
        <f>+D66+D70+D75+D78+D82+D88+D87</f>
        <v>203820726</v>
      </c>
      <c r="E89" s="208">
        <f>+E66+E70+E75+E78+E82+E88+E87</f>
        <v>221915450</v>
      </c>
    </row>
    <row r="90" spans="1:5" s="52" customFormat="1" ht="12" customHeight="1" thickBot="1">
      <c r="A90" s="203" t="s">
        <v>397</v>
      </c>
      <c r="B90" s="187" t="s">
        <v>398</v>
      </c>
      <c r="C90" s="172">
        <f>+C65+C89</f>
        <v>578498449</v>
      </c>
      <c r="D90" s="172">
        <f>+D65+D89</f>
        <v>616394739</v>
      </c>
      <c r="E90" s="208">
        <f>+E65+E89</f>
        <v>646194788</v>
      </c>
    </row>
    <row r="91" spans="1:3" s="53" customFormat="1" ht="15" customHeight="1" thickBot="1">
      <c r="A91" s="86"/>
      <c r="B91" s="87"/>
      <c r="C91" s="148"/>
    </row>
    <row r="92" spans="1:5" s="46" customFormat="1" ht="16.5" customHeight="1" thickBot="1">
      <c r="A92" s="873" t="s">
        <v>40</v>
      </c>
      <c r="B92" s="874"/>
      <c r="C92" s="874"/>
      <c r="D92" s="874"/>
      <c r="E92" s="875"/>
    </row>
    <row r="93" spans="1:5" s="54" customFormat="1" ht="12" customHeight="1" thickBot="1">
      <c r="A93" s="173" t="s">
        <v>6</v>
      </c>
      <c r="B93" s="24" t="s">
        <v>402</v>
      </c>
      <c r="C93" s="165">
        <f>+C94+C95+C96+C97+C98+C111</f>
        <v>190928959</v>
      </c>
      <c r="D93" s="165">
        <f>+D94+D95+D96+D97+D98+D111</f>
        <v>206220217</v>
      </c>
      <c r="E93" s="233">
        <f>+E94+E95+E96+E97+E98+E111</f>
        <v>171779390</v>
      </c>
    </row>
    <row r="94" spans="1:5" ht="12" customHeight="1">
      <c r="A94" s="204" t="s">
        <v>63</v>
      </c>
      <c r="B94" s="8" t="s">
        <v>35</v>
      </c>
      <c r="C94" s="240">
        <v>90443120</v>
      </c>
      <c r="D94" s="240">
        <v>91060102</v>
      </c>
      <c r="E94" s="234">
        <v>78845690</v>
      </c>
    </row>
    <row r="95" spans="1:5" ht="12" customHeight="1">
      <c r="A95" s="197" t="s">
        <v>64</v>
      </c>
      <c r="B95" s="6" t="s">
        <v>122</v>
      </c>
      <c r="C95" s="167">
        <v>10476945</v>
      </c>
      <c r="D95" s="167">
        <v>10248870</v>
      </c>
      <c r="E95" s="103">
        <v>9096892</v>
      </c>
    </row>
    <row r="96" spans="1:5" ht="12" customHeight="1">
      <c r="A96" s="197" t="s">
        <v>65</v>
      </c>
      <c r="B96" s="6" t="s">
        <v>90</v>
      </c>
      <c r="C96" s="169">
        <v>59253038</v>
      </c>
      <c r="D96" s="167">
        <v>72073325</v>
      </c>
      <c r="E96" s="105">
        <v>59401422</v>
      </c>
    </row>
    <row r="97" spans="1:5" ht="12" customHeight="1">
      <c r="A97" s="197" t="s">
        <v>66</v>
      </c>
      <c r="B97" s="9" t="s">
        <v>123</v>
      </c>
      <c r="C97" s="169">
        <v>14600000</v>
      </c>
      <c r="D97" s="253">
        <v>17562350</v>
      </c>
      <c r="E97" s="105">
        <v>13704500</v>
      </c>
    </row>
    <row r="98" spans="1:5" ht="12" customHeight="1">
      <c r="A98" s="197" t="s">
        <v>75</v>
      </c>
      <c r="B98" s="17" t="s">
        <v>124</v>
      </c>
      <c r="C98" s="169">
        <v>7535000</v>
      </c>
      <c r="D98" s="253">
        <v>11490414</v>
      </c>
      <c r="E98" s="105">
        <v>10730886</v>
      </c>
    </row>
    <row r="99" spans="1:5" ht="12" customHeight="1">
      <c r="A99" s="197" t="s">
        <v>67</v>
      </c>
      <c r="B99" s="6" t="s">
        <v>399</v>
      </c>
      <c r="C99" s="169"/>
      <c r="D99" s="253">
        <v>24014</v>
      </c>
      <c r="E99" s="105">
        <v>24014</v>
      </c>
    </row>
    <row r="100" spans="1:5" ht="12" customHeight="1">
      <c r="A100" s="197" t="s">
        <v>68</v>
      </c>
      <c r="B100" s="62" t="s">
        <v>343</v>
      </c>
      <c r="C100" s="169"/>
      <c r="D100" s="253"/>
      <c r="E100" s="105"/>
    </row>
    <row r="101" spans="1:5" ht="12" customHeight="1">
      <c r="A101" s="197" t="s">
        <v>76</v>
      </c>
      <c r="B101" s="62" t="s">
        <v>342</v>
      </c>
      <c r="C101" s="169"/>
      <c r="D101" s="253"/>
      <c r="E101" s="105"/>
    </row>
    <row r="102" spans="1:5" ht="12" customHeight="1">
      <c r="A102" s="197" t="s">
        <v>77</v>
      </c>
      <c r="B102" s="62" t="s">
        <v>258</v>
      </c>
      <c r="C102" s="169"/>
      <c r="D102" s="253"/>
      <c r="E102" s="105"/>
    </row>
    <row r="103" spans="1:5" ht="12" customHeight="1">
      <c r="A103" s="197" t="s">
        <v>78</v>
      </c>
      <c r="B103" s="63" t="s">
        <v>259</v>
      </c>
      <c r="C103" s="169"/>
      <c r="D103" s="253"/>
      <c r="E103" s="105"/>
    </row>
    <row r="104" spans="1:5" ht="12" customHeight="1">
      <c r="A104" s="197" t="s">
        <v>79</v>
      </c>
      <c r="B104" s="63" t="s">
        <v>260</v>
      </c>
      <c r="C104" s="169"/>
      <c r="D104" s="253"/>
      <c r="E104" s="105"/>
    </row>
    <row r="105" spans="1:5" ht="12" customHeight="1">
      <c r="A105" s="197" t="s">
        <v>81</v>
      </c>
      <c r="B105" s="62" t="s">
        <v>261</v>
      </c>
      <c r="C105" s="169">
        <v>5600000</v>
      </c>
      <c r="D105" s="253">
        <v>6430000</v>
      </c>
      <c r="E105" s="105">
        <v>6425472</v>
      </c>
    </row>
    <row r="106" spans="1:5" ht="12" customHeight="1">
      <c r="A106" s="197" t="s">
        <v>125</v>
      </c>
      <c r="B106" s="62" t="s">
        <v>262</v>
      </c>
      <c r="C106" s="169"/>
      <c r="D106" s="253"/>
      <c r="E106" s="105"/>
    </row>
    <row r="107" spans="1:5" ht="12" customHeight="1">
      <c r="A107" s="197" t="s">
        <v>256</v>
      </c>
      <c r="B107" s="63" t="s">
        <v>263</v>
      </c>
      <c r="C107" s="167"/>
      <c r="D107" s="253"/>
      <c r="E107" s="105"/>
    </row>
    <row r="108" spans="1:5" ht="12" customHeight="1">
      <c r="A108" s="205" t="s">
        <v>257</v>
      </c>
      <c r="B108" s="64" t="s">
        <v>264</v>
      </c>
      <c r="C108" s="169"/>
      <c r="D108" s="253"/>
      <c r="E108" s="105"/>
    </row>
    <row r="109" spans="1:5" ht="12" customHeight="1">
      <c r="A109" s="197" t="s">
        <v>340</v>
      </c>
      <c r="B109" s="64" t="s">
        <v>265</v>
      </c>
      <c r="C109" s="169"/>
      <c r="D109" s="253"/>
      <c r="E109" s="105"/>
    </row>
    <row r="110" spans="1:5" ht="12" customHeight="1">
      <c r="A110" s="197" t="s">
        <v>341</v>
      </c>
      <c r="B110" s="63" t="s">
        <v>266</v>
      </c>
      <c r="C110" s="167">
        <v>1935000</v>
      </c>
      <c r="D110" s="252">
        <v>5036400</v>
      </c>
      <c r="E110" s="103">
        <v>4281400</v>
      </c>
    </row>
    <row r="111" spans="1:5" ht="12" customHeight="1">
      <c r="A111" s="197" t="s">
        <v>345</v>
      </c>
      <c r="B111" s="9" t="s">
        <v>36</v>
      </c>
      <c r="C111" s="167">
        <v>8620856</v>
      </c>
      <c r="D111" s="252">
        <v>3785156</v>
      </c>
      <c r="E111" s="103"/>
    </row>
    <row r="112" spans="1:5" ht="12" customHeight="1">
      <c r="A112" s="198" t="s">
        <v>346</v>
      </c>
      <c r="B112" s="6" t="s">
        <v>400</v>
      </c>
      <c r="C112" s="169">
        <v>900856</v>
      </c>
      <c r="D112" s="253">
        <v>3785156</v>
      </c>
      <c r="E112" s="105"/>
    </row>
    <row r="113" spans="1:5" ht="12" customHeight="1" thickBot="1">
      <c r="A113" s="206" t="s">
        <v>347</v>
      </c>
      <c r="B113" s="65" t="s">
        <v>401</v>
      </c>
      <c r="C113" s="241">
        <v>7720000</v>
      </c>
      <c r="D113" s="290"/>
      <c r="E113" s="235"/>
    </row>
    <row r="114" spans="1:7" ht="12" customHeight="1" thickBot="1">
      <c r="A114" s="25" t="s">
        <v>7</v>
      </c>
      <c r="B114" s="23" t="s">
        <v>267</v>
      </c>
      <c r="C114" s="166">
        <f>+C115+C117+C119</f>
        <v>196470061</v>
      </c>
      <c r="D114" s="250">
        <f>+D115+D117+D119</f>
        <v>204204412</v>
      </c>
      <c r="E114" s="102">
        <f>+E115+E117+E119</f>
        <v>79496548</v>
      </c>
      <c r="G114" s="27"/>
    </row>
    <row r="115" spans="1:5" ht="12" customHeight="1">
      <c r="A115" s="196" t="s">
        <v>69</v>
      </c>
      <c r="B115" s="6" t="s">
        <v>143</v>
      </c>
      <c r="C115" s="168">
        <v>182192849</v>
      </c>
      <c r="D115" s="251">
        <v>190018008</v>
      </c>
      <c r="E115" s="104">
        <v>66918679</v>
      </c>
    </row>
    <row r="116" spans="1:5" ht="12" customHeight="1">
      <c r="A116" s="196" t="s">
        <v>70</v>
      </c>
      <c r="B116" s="10" t="s">
        <v>271</v>
      </c>
      <c r="C116" s="168"/>
      <c r="D116" s="251"/>
      <c r="E116" s="104"/>
    </row>
    <row r="117" spans="1:5" ht="12" customHeight="1">
      <c r="A117" s="196" t="s">
        <v>71</v>
      </c>
      <c r="B117" s="10" t="s">
        <v>126</v>
      </c>
      <c r="C117" s="167">
        <v>14277212</v>
      </c>
      <c r="D117" s="252">
        <v>14186404</v>
      </c>
      <c r="E117" s="103">
        <v>12577869</v>
      </c>
    </row>
    <row r="118" spans="1:5" ht="12" customHeight="1">
      <c r="A118" s="196" t="s">
        <v>72</v>
      </c>
      <c r="B118" s="10" t="s">
        <v>272</v>
      </c>
      <c r="C118" s="167"/>
      <c r="D118" s="252"/>
      <c r="E118" s="103"/>
    </row>
    <row r="119" spans="1:5" ht="12" customHeight="1">
      <c r="A119" s="196" t="s">
        <v>73</v>
      </c>
      <c r="B119" s="111" t="s">
        <v>145</v>
      </c>
      <c r="C119" s="167"/>
      <c r="D119" s="252"/>
      <c r="E119" s="103"/>
    </row>
    <row r="120" spans="1:5" ht="12" customHeight="1">
      <c r="A120" s="196" t="s">
        <v>80</v>
      </c>
      <c r="B120" s="110" t="s">
        <v>332</v>
      </c>
      <c r="C120" s="167"/>
      <c r="D120" s="252"/>
      <c r="E120" s="103"/>
    </row>
    <row r="121" spans="1:5" ht="12" customHeight="1">
      <c r="A121" s="196" t="s">
        <v>82</v>
      </c>
      <c r="B121" s="175" t="s">
        <v>277</v>
      </c>
      <c r="C121" s="167"/>
      <c r="D121" s="252"/>
      <c r="E121" s="103"/>
    </row>
    <row r="122" spans="1:5" ht="12" customHeight="1">
      <c r="A122" s="196" t="s">
        <v>127</v>
      </c>
      <c r="B122" s="63" t="s">
        <v>260</v>
      </c>
      <c r="C122" s="167"/>
      <c r="D122" s="252"/>
      <c r="E122" s="103"/>
    </row>
    <row r="123" spans="1:5" ht="12" customHeight="1">
      <c r="A123" s="196" t="s">
        <v>128</v>
      </c>
      <c r="B123" s="63" t="s">
        <v>276</v>
      </c>
      <c r="C123" s="167"/>
      <c r="D123" s="252"/>
      <c r="E123" s="103"/>
    </row>
    <row r="124" spans="1:5" ht="12" customHeight="1">
      <c r="A124" s="196" t="s">
        <v>129</v>
      </c>
      <c r="B124" s="63" t="s">
        <v>275</v>
      </c>
      <c r="C124" s="167"/>
      <c r="D124" s="252"/>
      <c r="E124" s="103"/>
    </row>
    <row r="125" spans="1:5" ht="12" customHeight="1">
      <c r="A125" s="196" t="s">
        <v>268</v>
      </c>
      <c r="B125" s="63" t="s">
        <v>263</v>
      </c>
      <c r="C125" s="167"/>
      <c r="D125" s="252"/>
      <c r="E125" s="103"/>
    </row>
    <row r="126" spans="1:5" ht="12" customHeight="1">
      <c r="A126" s="196" t="s">
        <v>269</v>
      </c>
      <c r="B126" s="63" t="s">
        <v>274</v>
      </c>
      <c r="C126" s="167"/>
      <c r="D126" s="252"/>
      <c r="E126" s="103"/>
    </row>
    <row r="127" spans="1:5" ht="12" customHeight="1" thickBot="1">
      <c r="A127" s="205" t="s">
        <v>270</v>
      </c>
      <c r="B127" s="63" t="s">
        <v>273</v>
      </c>
      <c r="C127" s="169"/>
      <c r="D127" s="253"/>
      <c r="E127" s="105"/>
    </row>
    <row r="128" spans="1:5" ht="12" customHeight="1" thickBot="1">
      <c r="A128" s="25" t="s">
        <v>8</v>
      </c>
      <c r="B128" s="56" t="s">
        <v>350</v>
      </c>
      <c r="C128" s="166">
        <f>+C93+C114</f>
        <v>387399020</v>
      </c>
      <c r="D128" s="250">
        <f>+D93+D114</f>
        <v>410424629</v>
      </c>
      <c r="E128" s="102">
        <f>+E93+E114</f>
        <v>251275938</v>
      </c>
    </row>
    <row r="129" spans="1:5" ht="12" customHeight="1" thickBot="1">
      <c r="A129" s="25" t="s">
        <v>9</v>
      </c>
      <c r="B129" s="56" t="s">
        <v>351</v>
      </c>
      <c r="C129" s="166">
        <f>+C130+C131+C132</f>
        <v>0</v>
      </c>
      <c r="D129" s="250">
        <f>+D130+D131+D132</f>
        <v>0</v>
      </c>
      <c r="E129" s="102">
        <f>+E130+E131+E132</f>
        <v>0</v>
      </c>
    </row>
    <row r="130" spans="1:5" s="54" customFormat="1" ht="12" customHeight="1">
      <c r="A130" s="196" t="s">
        <v>177</v>
      </c>
      <c r="B130" s="7" t="s">
        <v>405</v>
      </c>
      <c r="C130" s="167"/>
      <c r="D130" s="252"/>
      <c r="E130" s="103"/>
    </row>
    <row r="131" spans="1:5" ht="12" customHeight="1">
      <c r="A131" s="196" t="s">
        <v>178</v>
      </c>
      <c r="B131" s="7" t="s">
        <v>359</v>
      </c>
      <c r="C131" s="167"/>
      <c r="D131" s="252"/>
      <c r="E131" s="103"/>
    </row>
    <row r="132" spans="1:5" ht="12" customHeight="1" thickBot="1">
      <c r="A132" s="205" t="s">
        <v>179</v>
      </c>
      <c r="B132" s="5" t="s">
        <v>404</v>
      </c>
      <c r="C132" s="167"/>
      <c r="D132" s="252"/>
      <c r="E132" s="103"/>
    </row>
    <row r="133" spans="1:5" ht="12" customHeight="1" thickBot="1">
      <c r="A133" s="25" t="s">
        <v>10</v>
      </c>
      <c r="B133" s="56" t="s">
        <v>352</v>
      </c>
      <c r="C133" s="166">
        <f>+C134+C135+C136+C137+C138+C139</f>
        <v>0</v>
      </c>
      <c r="D133" s="250">
        <f>+D134+D135+D136+D137+D138+D139</f>
        <v>0</v>
      </c>
      <c r="E133" s="102">
        <f>+E134+E135+E136+E137+E138+E139</f>
        <v>0</v>
      </c>
    </row>
    <row r="134" spans="1:5" ht="12" customHeight="1">
      <c r="A134" s="196" t="s">
        <v>56</v>
      </c>
      <c r="B134" s="7" t="s">
        <v>361</v>
      </c>
      <c r="C134" s="167"/>
      <c r="D134" s="252"/>
      <c r="E134" s="103"/>
    </row>
    <row r="135" spans="1:5" ht="12" customHeight="1">
      <c r="A135" s="196" t="s">
        <v>57</v>
      </c>
      <c r="B135" s="7" t="s">
        <v>353</v>
      </c>
      <c r="C135" s="167"/>
      <c r="D135" s="252"/>
      <c r="E135" s="103"/>
    </row>
    <row r="136" spans="1:5" ht="12" customHeight="1">
      <c r="A136" s="196" t="s">
        <v>58</v>
      </c>
      <c r="B136" s="7" t="s">
        <v>354</v>
      </c>
      <c r="C136" s="167"/>
      <c r="D136" s="252"/>
      <c r="E136" s="103"/>
    </row>
    <row r="137" spans="1:5" ht="12" customHeight="1">
      <c r="A137" s="196" t="s">
        <v>114</v>
      </c>
      <c r="B137" s="7" t="s">
        <v>403</v>
      </c>
      <c r="C137" s="167"/>
      <c r="D137" s="252"/>
      <c r="E137" s="103"/>
    </row>
    <row r="138" spans="1:5" ht="12" customHeight="1">
      <c r="A138" s="196" t="s">
        <v>115</v>
      </c>
      <c r="B138" s="7" t="s">
        <v>356</v>
      </c>
      <c r="C138" s="167"/>
      <c r="D138" s="252"/>
      <c r="E138" s="103"/>
    </row>
    <row r="139" spans="1:5" s="54" customFormat="1" ht="12" customHeight="1" thickBot="1">
      <c r="A139" s="205" t="s">
        <v>116</v>
      </c>
      <c r="B139" s="5" t="s">
        <v>357</v>
      </c>
      <c r="C139" s="167"/>
      <c r="D139" s="252"/>
      <c r="E139" s="103"/>
    </row>
    <row r="140" spans="1:11" ht="12" customHeight="1" thickBot="1">
      <c r="A140" s="25" t="s">
        <v>11</v>
      </c>
      <c r="B140" s="56" t="s">
        <v>418</v>
      </c>
      <c r="C140" s="172">
        <f>+C141+C142+C144+C145+C143</f>
        <v>191099429</v>
      </c>
      <c r="D140" s="254">
        <f>+D141+D142+D144+D145+D143</f>
        <v>205970110</v>
      </c>
      <c r="E140" s="208">
        <f>+E141+E142+E144+E145+E143</f>
        <v>196619957</v>
      </c>
      <c r="K140" s="95"/>
    </row>
    <row r="141" spans="1:5" ht="12.75">
      <c r="A141" s="196" t="s">
        <v>59</v>
      </c>
      <c r="B141" s="7" t="s">
        <v>278</v>
      </c>
      <c r="C141" s="167"/>
      <c r="D141" s="252"/>
      <c r="E141" s="103"/>
    </row>
    <row r="142" spans="1:5" ht="12" customHeight="1">
      <c r="A142" s="196" t="s">
        <v>60</v>
      </c>
      <c r="B142" s="7" t="s">
        <v>279</v>
      </c>
      <c r="C142" s="167"/>
      <c r="D142" s="252">
        <v>7715657</v>
      </c>
      <c r="E142" s="103">
        <v>7715657</v>
      </c>
    </row>
    <row r="143" spans="1:5" ht="12" customHeight="1">
      <c r="A143" s="196" t="s">
        <v>195</v>
      </c>
      <c r="B143" s="7" t="s">
        <v>417</v>
      </c>
      <c r="C143" s="167">
        <v>191099429</v>
      </c>
      <c r="D143" s="252">
        <v>198254453</v>
      </c>
      <c r="E143" s="103">
        <v>188904300</v>
      </c>
    </row>
    <row r="144" spans="1:5" s="54" customFormat="1" ht="12" customHeight="1">
      <c r="A144" s="196" t="s">
        <v>196</v>
      </c>
      <c r="B144" s="7" t="s">
        <v>366</v>
      </c>
      <c r="C144" s="167"/>
      <c r="D144" s="252"/>
      <c r="E144" s="103"/>
    </row>
    <row r="145" spans="1:5" s="54" customFormat="1" ht="12" customHeight="1" thickBot="1">
      <c r="A145" s="205" t="s">
        <v>197</v>
      </c>
      <c r="B145" s="5" t="s">
        <v>295</v>
      </c>
      <c r="C145" s="167"/>
      <c r="D145" s="252"/>
      <c r="E145" s="103"/>
    </row>
    <row r="146" spans="1:5" s="54" customFormat="1" ht="12" customHeight="1" thickBot="1">
      <c r="A146" s="25" t="s">
        <v>12</v>
      </c>
      <c r="B146" s="56" t="s">
        <v>367</v>
      </c>
      <c r="C146" s="243">
        <f>+C147+C148+C149+C150+C151</f>
        <v>0</v>
      </c>
      <c r="D146" s="255">
        <f>+D147+D148+D149+D150+D151</f>
        <v>0</v>
      </c>
      <c r="E146" s="237">
        <f>+E147+E148+E149+E150+E151</f>
        <v>0</v>
      </c>
    </row>
    <row r="147" spans="1:5" s="54" customFormat="1" ht="12" customHeight="1">
      <c r="A147" s="196" t="s">
        <v>61</v>
      </c>
      <c r="B147" s="7" t="s">
        <v>362</v>
      </c>
      <c r="C147" s="167"/>
      <c r="D147" s="252"/>
      <c r="E147" s="103"/>
    </row>
    <row r="148" spans="1:5" s="54" customFormat="1" ht="12" customHeight="1">
      <c r="A148" s="196" t="s">
        <v>62</v>
      </c>
      <c r="B148" s="7" t="s">
        <v>369</v>
      </c>
      <c r="C148" s="167"/>
      <c r="D148" s="252"/>
      <c r="E148" s="103"/>
    </row>
    <row r="149" spans="1:5" s="54" customFormat="1" ht="12" customHeight="1">
      <c r="A149" s="196" t="s">
        <v>207</v>
      </c>
      <c r="B149" s="7" t="s">
        <v>364</v>
      </c>
      <c r="C149" s="167"/>
      <c r="D149" s="252"/>
      <c r="E149" s="103"/>
    </row>
    <row r="150" spans="1:5" s="54" customFormat="1" ht="12" customHeight="1">
      <c r="A150" s="196" t="s">
        <v>208</v>
      </c>
      <c r="B150" s="7" t="s">
        <v>406</v>
      </c>
      <c r="C150" s="167"/>
      <c r="D150" s="252"/>
      <c r="E150" s="103"/>
    </row>
    <row r="151" spans="1:5" ht="12.75" customHeight="1" thickBot="1">
      <c r="A151" s="205" t="s">
        <v>368</v>
      </c>
      <c r="B151" s="5" t="s">
        <v>371</v>
      </c>
      <c r="C151" s="169"/>
      <c r="D151" s="253"/>
      <c r="E151" s="105"/>
    </row>
    <row r="152" spans="1:5" ht="12.75" customHeight="1" thickBot="1">
      <c r="A152" s="232" t="s">
        <v>13</v>
      </c>
      <c r="B152" s="56" t="s">
        <v>372</v>
      </c>
      <c r="C152" s="243"/>
      <c r="D152" s="255"/>
      <c r="E152" s="237"/>
    </row>
    <row r="153" spans="1:5" ht="12.75" customHeight="1" thickBot="1">
      <c r="A153" s="232" t="s">
        <v>14</v>
      </c>
      <c r="B153" s="56" t="s">
        <v>373</v>
      </c>
      <c r="C153" s="243"/>
      <c r="D153" s="255"/>
      <c r="E153" s="237"/>
    </row>
    <row r="154" spans="1:5" ht="12" customHeight="1" thickBot="1">
      <c r="A154" s="25" t="s">
        <v>15</v>
      </c>
      <c r="B154" s="56" t="s">
        <v>375</v>
      </c>
      <c r="C154" s="245">
        <f>+C129+C133+C140+C146+C152+C153</f>
        <v>191099429</v>
      </c>
      <c r="D154" s="257">
        <f>+D129+D133+D140+D146+D152+D153</f>
        <v>205970110</v>
      </c>
      <c r="E154" s="239">
        <f>+E129+E133+E140+E146+E152+E153</f>
        <v>196619957</v>
      </c>
    </row>
    <row r="155" spans="1:5" ht="15" customHeight="1" thickBot="1">
      <c r="A155" s="207" t="s">
        <v>16</v>
      </c>
      <c r="B155" s="153" t="s">
        <v>374</v>
      </c>
      <c r="C155" s="245">
        <f>+C128+C154</f>
        <v>578498449</v>
      </c>
      <c r="D155" s="257">
        <f>+D128+D154</f>
        <v>616394739</v>
      </c>
      <c r="E155" s="239">
        <f>+E128+E154</f>
        <v>447895895</v>
      </c>
    </row>
    <row r="156" spans="1:5" ht="13.5" thickBot="1">
      <c r="A156" s="156"/>
      <c r="B156" s="157"/>
      <c r="C156" s="654">
        <f>C90-C155</f>
        <v>0</v>
      </c>
      <c r="D156" s="654">
        <f>D90-D155</f>
        <v>0</v>
      </c>
      <c r="E156" s="158"/>
    </row>
    <row r="157" spans="1:5" ht="15" customHeight="1" thickBot="1">
      <c r="A157" s="93" t="s">
        <v>486</v>
      </c>
      <c r="B157" s="94"/>
      <c r="C157" s="289">
        <v>5</v>
      </c>
      <c r="D157" s="289">
        <v>5</v>
      </c>
      <c r="E157" s="288">
        <v>5</v>
      </c>
    </row>
    <row r="158" spans="1:5" ht="14.25" customHeight="1" thickBot="1">
      <c r="A158" s="93" t="s">
        <v>487</v>
      </c>
      <c r="B158" s="94"/>
      <c r="C158" s="289">
        <v>52</v>
      </c>
      <c r="D158" s="289">
        <v>52</v>
      </c>
      <c r="E158" s="288">
        <v>54</v>
      </c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B2" sqref="B2:D2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1"/>
      <c r="B1" s="877" t="str">
        <f>CONCATENATE("11. melléklet ",Z_ALAPADATOK!A7," ",Z_ALAPADATOK!B7," ",Z_ALAPADATOK!C7," ",Z_ALAPADATOK!D7," ",Z_ALAPADATOK!E7," ",Z_ALAPADATOK!F7," ",Z_ALAPADATOK!G7," ",Z_ALAPADATOK!H7)</f>
        <v>11. melléklet a 8 / 2021. ( V.25 ) önkormányzati rendelethez</v>
      </c>
      <c r="C1" s="878"/>
      <c r="D1" s="878"/>
      <c r="E1" s="878"/>
    </row>
    <row r="2" spans="1:5" s="50" customFormat="1" ht="21" customHeight="1" thickBot="1">
      <c r="A2" s="330" t="s">
        <v>44</v>
      </c>
      <c r="B2" s="876" t="str">
        <f>CONCATENATE(Z_ALAPADATOK!A3)</f>
        <v>BEKECS KÖZSÉG Önkormányzata</v>
      </c>
      <c r="C2" s="876"/>
      <c r="D2" s="876"/>
      <c r="E2" s="331" t="s">
        <v>38</v>
      </c>
    </row>
    <row r="3" spans="1:5" s="50" customFormat="1" ht="24.75" thickBot="1">
      <c r="A3" s="330" t="s">
        <v>135</v>
      </c>
      <c r="B3" s="876" t="s">
        <v>323</v>
      </c>
      <c r="C3" s="876"/>
      <c r="D3" s="876"/>
      <c r="E3" s="332" t="s">
        <v>42</v>
      </c>
    </row>
    <row r="4" spans="1:5" s="51" customFormat="1" ht="15.75" customHeight="1" thickBot="1">
      <c r="A4" s="324"/>
      <c r="B4" s="324"/>
      <c r="C4" s="325"/>
      <c r="D4" s="326"/>
      <c r="E4" s="325" t="str">
        <f>'10'!E4</f>
        <v> Forintban!</v>
      </c>
    </row>
    <row r="5" spans="1:5" ht="24.75" thickBot="1">
      <c r="A5" s="327" t="s">
        <v>136</v>
      </c>
      <c r="B5" s="328" t="s">
        <v>485</v>
      </c>
      <c r="C5" s="328" t="s">
        <v>450</v>
      </c>
      <c r="D5" s="329" t="s">
        <v>451</v>
      </c>
      <c r="E5" s="312" t="str">
        <f>CONCATENATE('10'!E5)</f>
        <v>Teljesítés
2020. XII. 31.</v>
      </c>
    </row>
    <row r="6" spans="1:5" s="46" customFormat="1" ht="12.75" customHeight="1" thickBot="1">
      <c r="A6" s="74" t="s">
        <v>386</v>
      </c>
      <c r="B6" s="75" t="s">
        <v>387</v>
      </c>
      <c r="C6" s="75" t="s">
        <v>388</v>
      </c>
      <c r="D6" s="283" t="s">
        <v>390</v>
      </c>
      <c r="E6" s="76" t="s">
        <v>389</v>
      </c>
    </row>
    <row r="7" spans="1:5" s="46" customFormat="1" ht="15.75" customHeight="1" thickBot="1">
      <c r="A7" s="873" t="s">
        <v>39</v>
      </c>
      <c r="B7" s="874"/>
      <c r="C7" s="874"/>
      <c r="D7" s="874"/>
      <c r="E7" s="875"/>
    </row>
    <row r="8" spans="1:5" s="46" customFormat="1" ht="12" customHeight="1" thickBot="1">
      <c r="A8" s="25" t="s">
        <v>6</v>
      </c>
      <c r="B8" s="19" t="s">
        <v>162</v>
      </c>
      <c r="C8" s="166">
        <f>+C9+C10+C11+C12+C13+C14</f>
        <v>192891415</v>
      </c>
      <c r="D8" s="250">
        <f>+D9+D10+D11+D12+D13+D14</f>
        <v>222651750</v>
      </c>
      <c r="E8" s="102">
        <f>+E9+E10+E11+E12+E13+E14</f>
        <v>222651750</v>
      </c>
    </row>
    <row r="9" spans="1:5" s="52" customFormat="1" ht="12" customHeight="1">
      <c r="A9" s="196" t="s">
        <v>63</v>
      </c>
      <c r="B9" s="179" t="s">
        <v>163</v>
      </c>
      <c r="C9" s="168">
        <v>69285800</v>
      </c>
      <c r="D9" s="251">
        <v>83332544</v>
      </c>
      <c r="E9" s="104">
        <v>83332544</v>
      </c>
    </row>
    <row r="10" spans="1:5" s="53" customFormat="1" ht="12" customHeight="1">
      <c r="A10" s="197" t="s">
        <v>64</v>
      </c>
      <c r="B10" s="180" t="s">
        <v>164</v>
      </c>
      <c r="C10" s="167">
        <v>70659100</v>
      </c>
      <c r="D10" s="252">
        <v>79185120</v>
      </c>
      <c r="E10" s="103">
        <v>79185120</v>
      </c>
    </row>
    <row r="11" spans="1:5" s="53" customFormat="1" ht="12" customHeight="1">
      <c r="A11" s="197" t="s">
        <v>65</v>
      </c>
      <c r="B11" s="180" t="s">
        <v>165</v>
      </c>
      <c r="C11" s="167">
        <v>49892824</v>
      </c>
      <c r="D11" s="252">
        <v>48973067</v>
      </c>
      <c r="E11" s="103">
        <v>48973067</v>
      </c>
    </row>
    <row r="12" spans="1:5" s="53" customFormat="1" ht="12" customHeight="1">
      <c r="A12" s="197" t="s">
        <v>66</v>
      </c>
      <c r="B12" s="180" t="s">
        <v>166</v>
      </c>
      <c r="C12" s="167">
        <v>3053691</v>
      </c>
      <c r="D12" s="252">
        <v>4397323</v>
      </c>
      <c r="E12" s="103">
        <v>4397323</v>
      </c>
    </row>
    <row r="13" spans="1:5" s="53" customFormat="1" ht="12" customHeight="1">
      <c r="A13" s="197" t="s">
        <v>97</v>
      </c>
      <c r="B13" s="180" t="s">
        <v>394</v>
      </c>
      <c r="C13" s="167"/>
      <c r="D13" s="252">
        <v>6663750</v>
      </c>
      <c r="E13" s="103">
        <v>6663750</v>
      </c>
    </row>
    <row r="14" spans="1:5" s="52" customFormat="1" ht="12" customHeight="1" thickBot="1">
      <c r="A14" s="198" t="s">
        <v>67</v>
      </c>
      <c r="B14" s="181" t="s">
        <v>335</v>
      </c>
      <c r="C14" s="167"/>
      <c r="D14" s="252">
        <v>99946</v>
      </c>
      <c r="E14" s="103">
        <v>99946</v>
      </c>
    </row>
    <row r="15" spans="1:5" s="52" customFormat="1" ht="12" customHeight="1" thickBot="1">
      <c r="A15" s="25" t="s">
        <v>7</v>
      </c>
      <c r="B15" s="109" t="s">
        <v>167</v>
      </c>
      <c r="C15" s="166">
        <f>+C16+C17+C18+C19+C20</f>
        <v>96178089</v>
      </c>
      <c r="D15" s="250">
        <f>+D16+D17+D18+D19+D20</f>
        <v>85009001</v>
      </c>
      <c r="E15" s="102">
        <f>+E16+E17+E18+E19+E20</f>
        <v>87682500</v>
      </c>
    </row>
    <row r="16" spans="1:5" s="52" customFormat="1" ht="12" customHeight="1">
      <c r="A16" s="196" t="s">
        <v>69</v>
      </c>
      <c r="B16" s="179" t="s">
        <v>168</v>
      </c>
      <c r="C16" s="168"/>
      <c r="D16" s="251">
        <v>2202842</v>
      </c>
      <c r="E16" s="104"/>
    </row>
    <row r="17" spans="1:5" s="52" customFormat="1" ht="12" customHeight="1">
      <c r="A17" s="197" t="s">
        <v>70</v>
      </c>
      <c r="B17" s="180" t="s">
        <v>169</v>
      </c>
      <c r="C17" s="167"/>
      <c r="D17" s="252"/>
      <c r="E17" s="103"/>
    </row>
    <row r="18" spans="1:5" s="52" customFormat="1" ht="12" customHeight="1">
      <c r="A18" s="197" t="s">
        <v>71</v>
      </c>
      <c r="B18" s="180" t="s">
        <v>326</v>
      </c>
      <c r="C18" s="167"/>
      <c r="D18" s="252"/>
      <c r="E18" s="103"/>
    </row>
    <row r="19" spans="1:5" s="52" customFormat="1" ht="12" customHeight="1">
      <c r="A19" s="197" t="s">
        <v>72</v>
      </c>
      <c r="B19" s="180" t="s">
        <v>327</v>
      </c>
      <c r="C19" s="167"/>
      <c r="D19" s="252"/>
      <c r="E19" s="103"/>
    </row>
    <row r="20" spans="1:5" s="52" customFormat="1" ht="12" customHeight="1">
      <c r="A20" s="197" t="s">
        <v>73</v>
      </c>
      <c r="B20" s="180" t="s">
        <v>170</v>
      </c>
      <c r="C20" s="167">
        <v>96178089</v>
      </c>
      <c r="D20" s="252">
        <v>82806159</v>
      </c>
      <c r="E20" s="103">
        <v>87682500</v>
      </c>
    </row>
    <row r="21" spans="1:5" s="53" customFormat="1" ht="12" customHeight="1" thickBot="1">
      <c r="A21" s="198" t="s">
        <v>80</v>
      </c>
      <c r="B21" s="181" t="s">
        <v>171</v>
      </c>
      <c r="C21" s="169"/>
      <c r="D21" s="253"/>
      <c r="E21" s="105"/>
    </row>
    <row r="22" spans="1:5" s="53" customFormat="1" ht="12" customHeight="1" thickBot="1">
      <c r="A22" s="25" t="s">
        <v>8</v>
      </c>
      <c r="B22" s="19" t="s">
        <v>172</v>
      </c>
      <c r="C22" s="166">
        <f>+C23+C24+C25+C26+C27</f>
        <v>4830488</v>
      </c>
      <c r="D22" s="250">
        <f>+D23+D24+D25+D26+D27</f>
        <v>22151088</v>
      </c>
      <c r="E22" s="102">
        <f>+E23+E24+E25+E26+E27</f>
        <v>44448258</v>
      </c>
    </row>
    <row r="23" spans="1:5" s="53" customFormat="1" ht="12" customHeight="1">
      <c r="A23" s="196" t="s">
        <v>52</v>
      </c>
      <c r="B23" s="179" t="s">
        <v>173</v>
      </c>
      <c r="C23" s="168"/>
      <c r="D23" s="251"/>
      <c r="E23" s="104"/>
    </row>
    <row r="24" spans="1:5" s="52" customFormat="1" ht="12" customHeight="1">
      <c r="A24" s="197" t="s">
        <v>53</v>
      </c>
      <c r="B24" s="180" t="s">
        <v>174</v>
      </c>
      <c r="C24" s="167"/>
      <c r="D24" s="252"/>
      <c r="E24" s="103"/>
    </row>
    <row r="25" spans="1:5" s="53" customFormat="1" ht="12" customHeight="1">
      <c r="A25" s="197" t="s">
        <v>54</v>
      </c>
      <c r="B25" s="180" t="s">
        <v>328</v>
      </c>
      <c r="C25" s="167"/>
      <c r="D25" s="252"/>
      <c r="E25" s="103"/>
    </row>
    <row r="26" spans="1:5" s="53" customFormat="1" ht="12" customHeight="1">
      <c r="A26" s="197" t="s">
        <v>55</v>
      </c>
      <c r="B26" s="180" t="s">
        <v>329</v>
      </c>
      <c r="C26" s="167"/>
      <c r="D26" s="252"/>
      <c r="E26" s="103"/>
    </row>
    <row r="27" spans="1:5" s="53" customFormat="1" ht="12" customHeight="1">
      <c r="A27" s="197" t="s">
        <v>110</v>
      </c>
      <c r="B27" s="180" t="s">
        <v>175</v>
      </c>
      <c r="C27" s="167">
        <v>4830488</v>
      </c>
      <c r="D27" s="252">
        <v>22151088</v>
      </c>
      <c r="E27" s="103">
        <v>44448258</v>
      </c>
    </row>
    <row r="28" spans="1:5" s="53" customFormat="1" ht="12" customHeight="1" thickBot="1">
      <c r="A28" s="198" t="s">
        <v>111</v>
      </c>
      <c r="B28" s="181" t="s">
        <v>176</v>
      </c>
      <c r="C28" s="169"/>
      <c r="D28" s="253"/>
      <c r="E28" s="105"/>
    </row>
    <row r="29" spans="1:5" s="53" customFormat="1" ht="12" customHeight="1" thickBot="1">
      <c r="A29" s="25" t="s">
        <v>112</v>
      </c>
      <c r="B29" s="19" t="s">
        <v>477</v>
      </c>
      <c r="C29" s="172">
        <f>SUM(C30:C36)</f>
        <v>66134393</v>
      </c>
      <c r="D29" s="172">
        <f>SUM(D30:D36)</f>
        <v>55134393</v>
      </c>
      <c r="E29" s="208">
        <f>SUM(E30:E36)</f>
        <v>57075048</v>
      </c>
    </row>
    <row r="30" spans="1:5" s="53" customFormat="1" ht="12" customHeight="1">
      <c r="A30" s="196" t="s">
        <v>177</v>
      </c>
      <c r="B30" s="179" t="str">
        <f>'1 '!B33</f>
        <v>Építményadó</v>
      </c>
      <c r="C30" s="168"/>
      <c r="D30" s="168"/>
      <c r="E30" s="104"/>
    </row>
    <row r="31" spans="1:5" s="53" customFormat="1" ht="12" customHeight="1">
      <c r="A31" s="197" t="s">
        <v>178</v>
      </c>
      <c r="B31" s="179" t="s">
        <v>901</v>
      </c>
      <c r="C31" s="167">
        <v>1000000</v>
      </c>
      <c r="D31" s="167">
        <v>1000000</v>
      </c>
      <c r="E31" s="103">
        <v>742140</v>
      </c>
    </row>
    <row r="32" spans="1:5" s="53" customFormat="1" ht="12" customHeight="1">
      <c r="A32" s="197" t="s">
        <v>179</v>
      </c>
      <c r="B32" s="179" t="str">
        <f>'1 '!B35</f>
        <v>Iparűzési adó</v>
      </c>
      <c r="C32" s="167">
        <v>53134393</v>
      </c>
      <c r="D32" s="167">
        <v>53134393</v>
      </c>
      <c r="E32" s="103">
        <v>56332908</v>
      </c>
    </row>
    <row r="33" spans="1:5" s="53" customFormat="1" ht="12" customHeight="1">
      <c r="A33" s="197" t="s">
        <v>180</v>
      </c>
      <c r="B33" s="179" t="str">
        <f>'1 '!B36</f>
        <v>Talajterhelési díj</v>
      </c>
      <c r="C33" s="167">
        <v>1000000</v>
      </c>
      <c r="D33" s="167">
        <v>1000000</v>
      </c>
      <c r="E33" s="103"/>
    </row>
    <row r="34" spans="1:5" s="53" customFormat="1" ht="12" customHeight="1">
      <c r="A34" s="197" t="s">
        <v>481</v>
      </c>
      <c r="B34" s="179" t="str">
        <f>'1 '!B37</f>
        <v>Gépjárműadó</v>
      </c>
      <c r="C34" s="167">
        <v>11000000</v>
      </c>
      <c r="D34" s="167"/>
      <c r="E34" s="103"/>
    </row>
    <row r="35" spans="1:5" s="53" customFormat="1" ht="12" customHeight="1">
      <c r="A35" s="197" t="s">
        <v>482</v>
      </c>
      <c r="B35" s="179" t="str">
        <f>'1 '!B38</f>
        <v>Telekadó</v>
      </c>
      <c r="C35" s="167"/>
      <c r="D35" s="167"/>
      <c r="E35" s="103"/>
    </row>
    <row r="36" spans="1:5" s="53" customFormat="1" ht="12" customHeight="1" thickBot="1">
      <c r="A36" s="198" t="s">
        <v>483</v>
      </c>
      <c r="B36" s="179" t="str">
        <f>'1 '!B39</f>
        <v>Kommunális adó</v>
      </c>
      <c r="C36" s="169"/>
      <c r="D36" s="169"/>
      <c r="E36" s="105"/>
    </row>
    <row r="37" spans="1:5" s="53" customFormat="1" ht="12" customHeight="1" thickBot="1">
      <c r="A37" s="25" t="s">
        <v>10</v>
      </c>
      <c r="B37" s="19" t="s">
        <v>336</v>
      </c>
      <c r="C37" s="166">
        <f>SUM(C38:C48)</f>
        <v>10090000</v>
      </c>
      <c r="D37" s="250">
        <f>SUM(D38:D48)</f>
        <v>16556781</v>
      </c>
      <c r="E37" s="102">
        <f>SUM(E38:E48)</f>
        <v>8974908</v>
      </c>
    </row>
    <row r="38" spans="1:5" s="53" customFormat="1" ht="12" customHeight="1">
      <c r="A38" s="196" t="s">
        <v>56</v>
      </c>
      <c r="B38" s="179" t="s">
        <v>184</v>
      </c>
      <c r="C38" s="168"/>
      <c r="D38" s="251"/>
      <c r="E38" s="104"/>
    </row>
    <row r="39" spans="1:5" s="53" customFormat="1" ht="12" customHeight="1">
      <c r="A39" s="197" t="s">
        <v>57</v>
      </c>
      <c r="B39" s="180" t="s">
        <v>185</v>
      </c>
      <c r="C39" s="167">
        <v>2000000</v>
      </c>
      <c r="D39" s="252">
        <v>5000000</v>
      </c>
      <c r="E39" s="103">
        <v>2208410</v>
      </c>
    </row>
    <row r="40" spans="1:5" s="53" customFormat="1" ht="12" customHeight="1">
      <c r="A40" s="197" t="s">
        <v>58</v>
      </c>
      <c r="B40" s="180" t="s">
        <v>186</v>
      </c>
      <c r="C40" s="167">
        <v>3300000</v>
      </c>
      <c r="D40" s="252">
        <v>3300000</v>
      </c>
      <c r="E40" s="103">
        <v>832762</v>
      </c>
    </row>
    <row r="41" spans="1:5" s="53" customFormat="1" ht="12" customHeight="1">
      <c r="A41" s="197" t="s">
        <v>114</v>
      </c>
      <c r="B41" s="180" t="s">
        <v>187</v>
      </c>
      <c r="C41" s="167"/>
      <c r="D41" s="252"/>
      <c r="E41" s="103"/>
    </row>
    <row r="42" spans="1:5" s="53" customFormat="1" ht="12" customHeight="1">
      <c r="A42" s="197" t="s">
        <v>115</v>
      </c>
      <c r="B42" s="180" t="s">
        <v>188</v>
      </c>
      <c r="C42" s="167">
        <v>3000000</v>
      </c>
      <c r="D42" s="252">
        <v>5731102</v>
      </c>
      <c r="E42" s="103">
        <v>4304912</v>
      </c>
    </row>
    <row r="43" spans="1:5" s="53" customFormat="1" ht="12" customHeight="1">
      <c r="A43" s="197" t="s">
        <v>116</v>
      </c>
      <c r="B43" s="180" t="s">
        <v>189</v>
      </c>
      <c r="C43" s="167">
        <v>1540000</v>
      </c>
      <c r="D43" s="252">
        <v>2275679</v>
      </c>
      <c r="E43" s="103">
        <v>1468073</v>
      </c>
    </row>
    <row r="44" spans="1:5" s="53" customFormat="1" ht="12" customHeight="1">
      <c r="A44" s="197" t="s">
        <v>117</v>
      </c>
      <c r="B44" s="180" t="s">
        <v>190</v>
      </c>
      <c r="C44" s="167"/>
      <c r="D44" s="252"/>
      <c r="E44" s="103"/>
    </row>
    <row r="45" spans="1:5" s="53" customFormat="1" ht="12" customHeight="1">
      <c r="A45" s="197" t="s">
        <v>118</v>
      </c>
      <c r="B45" s="180" t="s">
        <v>484</v>
      </c>
      <c r="C45" s="167">
        <v>150000</v>
      </c>
      <c r="D45" s="252">
        <v>150000</v>
      </c>
      <c r="E45" s="103">
        <v>102275</v>
      </c>
    </row>
    <row r="46" spans="1:5" s="53" customFormat="1" ht="12" customHeight="1">
      <c r="A46" s="197" t="s">
        <v>182</v>
      </c>
      <c r="B46" s="180" t="s">
        <v>192</v>
      </c>
      <c r="C46" s="170"/>
      <c r="D46" s="284"/>
      <c r="E46" s="106"/>
    </row>
    <row r="47" spans="1:5" s="53" customFormat="1" ht="12" customHeight="1">
      <c r="A47" s="198" t="s">
        <v>183</v>
      </c>
      <c r="B47" s="181" t="s">
        <v>338</v>
      </c>
      <c r="C47" s="171"/>
      <c r="D47" s="285"/>
      <c r="E47" s="107"/>
    </row>
    <row r="48" spans="1:5" s="53" customFormat="1" ht="12" customHeight="1" thickBot="1">
      <c r="A48" s="198" t="s">
        <v>337</v>
      </c>
      <c r="B48" s="181" t="s">
        <v>193</v>
      </c>
      <c r="C48" s="171">
        <v>100000</v>
      </c>
      <c r="D48" s="285">
        <v>100000</v>
      </c>
      <c r="E48" s="107">
        <v>58476</v>
      </c>
    </row>
    <row r="49" spans="1:5" s="53" customFormat="1" ht="12" customHeight="1" thickBot="1">
      <c r="A49" s="25" t="s">
        <v>11</v>
      </c>
      <c r="B49" s="19" t="s">
        <v>194</v>
      </c>
      <c r="C49" s="166">
        <f>SUM(C50:C54)</f>
        <v>0</v>
      </c>
      <c r="D49" s="250">
        <f>SUM(D50:D54)</f>
        <v>6200000</v>
      </c>
      <c r="E49" s="102">
        <f>SUM(E50:E54)</f>
        <v>2266874</v>
      </c>
    </row>
    <row r="50" spans="1:5" s="53" customFormat="1" ht="12" customHeight="1">
      <c r="A50" s="196" t="s">
        <v>59</v>
      </c>
      <c r="B50" s="179" t="s">
        <v>198</v>
      </c>
      <c r="C50" s="219"/>
      <c r="D50" s="286"/>
      <c r="E50" s="108"/>
    </row>
    <row r="51" spans="1:5" s="53" customFormat="1" ht="12" customHeight="1">
      <c r="A51" s="197" t="s">
        <v>60</v>
      </c>
      <c r="B51" s="180" t="s">
        <v>199</v>
      </c>
      <c r="C51" s="170"/>
      <c r="D51" s="284">
        <v>6200000</v>
      </c>
      <c r="E51" s="106">
        <v>2266874</v>
      </c>
    </row>
    <row r="52" spans="1:5" s="53" customFormat="1" ht="12" customHeight="1">
      <c r="A52" s="197" t="s">
        <v>195</v>
      </c>
      <c r="B52" s="180" t="s">
        <v>200</v>
      </c>
      <c r="C52" s="170"/>
      <c r="D52" s="284"/>
      <c r="E52" s="106"/>
    </row>
    <row r="53" spans="1:5" s="53" customFormat="1" ht="12" customHeight="1">
      <c r="A53" s="197" t="s">
        <v>196</v>
      </c>
      <c r="B53" s="180" t="s">
        <v>201</v>
      </c>
      <c r="C53" s="170"/>
      <c r="D53" s="284"/>
      <c r="E53" s="106"/>
    </row>
    <row r="54" spans="1:5" s="53" customFormat="1" ht="12" customHeight="1" thickBot="1">
      <c r="A54" s="198" t="s">
        <v>197</v>
      </c>
      <c r="B54" s="181" t="s">
        <v>202</v>
      </c>
      <c r="C54" s="171"/>
      <c r="D54" s="285"/>
      <c r="E54" s="107"/>
    </row>
    <row r="55" spans="1:5" s="53" customFormat="1" ht="12" customHeight="1" thickBot="1">
      <c r="A55" s="25" t="s">
        <v>119</v>
      </c>
      <c r="B55" s="19" t="s">
        <v>203</v>
      </c>
      <c r="C55" s="166">
        <f>SUM(C56:C58)</f>
        <v>0</v>
      </c>
      <c r="D55" s="250">
        <f>SUM(D56:D58)</f>
        <v>0</v>
      </c>
      <c r="E55" s="102">
        <f>SUM(E56:E58)</f>
        <v>0</v>
      </c>
    </row>
    <row r="56" spans="1:5" s="53" customFormat="1" ht="12" customHeight="1">
      <c r="A56" s="196" t="s">
        <v>61</v>
      </c>
      <c r="B56" s="179" t="s">
        <v>204</v>
      </c>
      <c r="C56" s="168"/>
      <c r="D56" s="251"/>
      <c r="E56" s="104"/>
    </row>
    <row r="57" spans="1:5" s="53" customFormat="1" ht="12" customHeight="1">
      <c r="A57" s="197" t="s">
        <v>62</v>
      </c>
      <c r="B57" s="180" t="s">
        <v>330</v>
      </c>
      <c r="C57" s="167"/>
      <c r="D57" s="252"/>
      <c r="E57" s="103"/>
    </row>
    <row r="58" spans="1:5" s="53" customFormat="1" ht="12" customHeight="1">
      <c r="A58" s="197" t="s">
        <v>207</v>
      </c>
      <c r="B58" s="180" t="s">
        <v>205</v>
      </c>
      <c r="C58" s="167"/>
      <c r="D58" s="252"/>
      <c r="E58" s="103"/>
    </row>
    <row r="59" spans="1:5" s="53" customFormat="1" ht="12" customHeight="1" thickBot="1">
      <c r="A59" s="198" t="s">
        <v>208</v>
      </c>
      <c r="B59" s="181" t="s">
        <v>206</v>
      </c>
      <c r="C59" s="169"/>
      <c r="D59" s="253"/>
      <c r="E59" s="105"/>
    </row>
    <row r="60" spans="1:5" s="53" customFormat="1" ht="12" customHeight="1" thickBot="1">
      <c r="A60" s="25" t="s">
        <v>13</v>
      </c>
      <c r="B60" s="109" t="s">
        <v>209</v>
      </c>
      <c r="C60" s="166">
        <f>SUM(C61:C63)</f>
        <v>2936000</v>
      </c>
      <c r="D60" s="250">
        <f>SUM(D61:D63)</f>
        <v>2936000</v>
      </c>
      <c r="E60" s="102">
        <f>SUM(E61:E63)</f>
        <v>0</v>
      </c>
    </row>
    <row r="61" spans="1:5" s="53" customFormat="1" ht="12" customHeight="1">
      <c r="A61" s="196" t="s">
        <v>120</v>
      </c>
      <c r="B61" s="179" t="s">
        <v>211</v>
      </c>
      <c r="C61" s="170"/>
      <c r="D61" s="284"/>
      <c r="E61" s="106"/>
    </row>
    <row r="62" spans="1:5" s="53" customFormat="1" ht="12" customHeight="1">
      <c r="A62" s="197" t="s">
        <v>121</v>
      </c>
      <c r="B62" s="180" t="s">
        <v>331</v>
      </c>
      <c r="C62" s="170"/>
      <c r="D62" s="284"/>
      <c r="E62" s="106"/>
    </row>
    <row r="63" spans="1:5" s="53" customFormat="1" ht="12" customHeight="1">
      <c r="A63" s="197" t="s">
        <v>144</v>
      </c>
      <c r="B63" s="180" t="s">
        <v>212</v>
      </c>
      <c r="C63" s="170">
        <v>2936000</v>
      </c>
      <c r="D63" s="284">
        <v>2936000</v>
      </c>
      <c r="E63" s="106"/>
    </row>
    <row r="64" spans="1:5" s="53" customFormat="1" ht="12" customHeight="1" thickBot="1">
      <c r="A64" s="198" t="s">
        <v>210</v>
      </c>
      <c r="B64" s="181" t="s">
        <v>213</v>
      </c>
      <c r="C64" s="170"/>
      <c r="D64" s="284"/>
      <c r="E64" s="106"/>
    </row>
    <row r="65" spans="1:5" s="53" customFormat="1" ht="12" customHeight="1" thickBot="1">
      <c r="A65" s="25" t="s">
        <v>14</v>
      </c>
      <c r="B65" s="19" t="s">
        <v>214</v>
      </c>
      <c r="C65" s="172">
        <f>+C8+C15+C22+C29+C37+C49+C55+C60</f>
        <v>373060385</v>
      </c>
      <c r="D65" s="254">
        <f>+D8+D15+D22+D29+D37+D49+D55+D60</f>
        <v>410639013</v>
      </c>
      <c r="E65" s="208">
        <f>+E8+E15+E22+E29+E37+E49+E55+E60</f>
        <v>423099338</v>
      </c>
    </row>
    <row r="66" spans="1:5" s="53" customFormat="1" ht="12" customHeight="1" thickBot="1">
      <c r="A66" s="199" t="s">
        <v>299</v>
      </c>
      <c r="B66" s="109" t="s">
        <v>216</v>
      </c>
      <c r="C66" s="166">
        <f>SUM(C67:C69)</f>
        <v>0</v>
      </c>
      <c r="D66" s="250">
        <f>SUM(D67:D69)</f>
        <v>0</v>
      </c>
      <c r="E66" s="102">
        <f>SUM(E67:E69)</f>
        <v>0</v>
      </c>
    </row>
    <row r="67" spans="1:5" s="53" customFormat="1" ht="12" customHeight="1">
      <c r="A67" s="196" t="s">
        <v>244</v>
      </c>
      <c r="B67" s="179" t="s">
        <v>217</v>
      </c>
      <c r="C67" s="170"/>
      <c r="D67" s="284"/>
      <c r="E67" s="106"/>
    </row>
    <row r="68" spans="1:5" s="53" customFormat="1" ht="12" customHeight="1">
      <c r="A68" s="197" t="s">
        <v>253</v>
      </c>
      <c r="B68" s="180" t="s">
        <v>218</v>
      </c>
      <c r="C68" s="170"/>
      <c r="D68" s="284"/>
      <c r="E68" s="106"/>
    </row>
    <row r="69" spans="1:5" s="53" customFormat="1" ht="12" customHeight="1" thickBot="1">
      <c r="A69" s="206" t="s">
        <v>254</v>
      </c>
      <c r="B69" s="318" t="s">
        <v>219</v>
      </c>
      <c r="C69" s="319"/>
      <c r="D69" s="287"/>
      <c r="E69" s="320"/>
    </row>
    <row r="70" spans="1:5" s="53" customFormat="1" ht="12" customHeight="1" thickBot="1">
      <c r="A70" s="199" t="s">
        <v>220</v>
      </c>
      <c r="B70" s="109" t="s">
        <v>221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3" customFormat="1" ht="12" customHeight="1">
      <c r="A71" s="196" t="s">
        <v>98</v>
      </c>
      <c r="B71" s="305" t="s">
        <v>222</v>
      </c>
      <c r="C71" s="170"/>
      <c r="D71" s="170"/>
      <c r="E71" s="106"/>
    </row>
    <row r="72" spans="1:5" s="53" customFormat="1" ht="12" customHeight="1">
      <c r="A72" s="197" t="s">
        <v>99</v>
      </c>
      <c r="B72" s="305" t="s">
        <v>491</v>
      </c>
      <c r="C72" s="170"/>
      <c r="D72" s="170"/>
      <c r="E72" s="106"/>
    </row>
    <row r="73" spans="1:5" s="53" customFormat="1" ht="12" customHeight="1">
      <c r="A73" s="197" t="s">
        <v>245</v>
      </c>
      <c r="B73" s="305" t="s">
        <v>223</v>
      </c>
      <c r="C73" s="170"/>
      <c r="D73" s="170"/>
      <c r="E73" s="106"/>
    </row>
    <row r="74" spans="1:5" s="53" customFormat="1" ht="12" customHeight="1" thickBot="1">
      <c r="A74" s="198" t="s">
        <v>246</v>
      </c>
      <c r="B74" s="306" t="s">
        <v>492</v>
      </c>
      <c r="C74" s="170"/>
      <c r="D74" s="170"/>
      <c r="E74" s="106"/>
    </row>
    <row r="75" spans="1:5" s="53" customFormat="1" ht="12" customHeight="1" thickBot="1">
      <c r="A75" s="199" t="s">
        <v>224</v>
      </c>
      <c r="B75" s="109" t="s">
        <v>225</v>
      </c>
      <c r="C75" s="166">
        <f>SUM(C76:C77)</f>
        <v>203503064</v>
      </c>
      <c r="D75" s="166">
        <f>SUM(D76:D77)</f>
        <v>203820726</v>
      </c>
      <c r="E75" s="102">
        <f>SUM(E76:E77)</f>
        <v>212872596</v>
      </c>
    </row>
    <row r="76" spans="1:5" s="53" customFormat="1" ht="12" customHeight="1">
      <c r="A76" s="196" t="s">
        <v>247</v>
      </c>
      <c r="B76" s="179" t="s">
        <v>226</v>
      </c>
      <c r="C76" s="170">
        <v>203503064</v>
      </c>
      <c r="D76" s="170">
        <v>203820726</v>
      </c>
      <c r="E76" s="106">
        <v>212872596</v>
      </c>
    </row>
    <row r="77" spans="1:5" s="53" customFormat="1" ht="12" customHeight="1" thickBot="1">
      <c r="A77" s="198" t="s">
        <v>248</v>
      </c>
      <c r="B77" s="181" t="s">
        <v>227</v>
      </c>
      <c r="C77" s="170"/>
      <c r="D77" s="170"/>
      <c r="E77" s="106"/>
    </row>
    <row r="78" spans="1:5" s="52" customFormat="1" ht="12" customHeight="1" thickBot="1">
      <c r="A78" s="199" t="s">
        <v>228</v>
      </c>
      <c r="B78" s="109" t="s">
        <v>229</v>
      </c>
      <c r="C78" s="166">
        <f>SUM(C79:C81)</f>
        <v>0</v>
      </c>
      <c r="D78" s="166">
        <f>SUM(D79:D81)</f>
        <v>0</v>
      </c>
      <c r="E78" s="102">
        <f>SUM(E79:E81)</f>
        <v>9042854</v>
      </c>
    </row>
    <row r="79" spans="1:5" s="53" customFormat="1" ht="12" customHeight="1">
      <c r="A79" s="196" t="s">
        <v>249</v>
      </c>
      <c r="B79" s="179" t="s">
        <v>230</v>
      </c>
      <c r="C79" s="170"/>
      <c r="D79" s="170"/>
      <c r="E79" s="106">
        <v>9042854</v>
      </c>
    </row>
    <row r="80" spans="1:5" s="53" customFormat="1" ht="12" customHeight="1">
      <c r="A80" s="197" t="s">
        <v>250</v>
      </c>
      <c r="B80" s="180" t="s">
        <v>231</v>
      </c>
      <c r="C80" s="170"/>
      <c r="D80" s="170"/>
      <c r="E80" s="106"/>
    </row>
    <row r="81" spans="1:5" s="53" customFormat="1" ht="12" customHeight="1" thickBot="1">
      <c r="A81" s="198" t="s">
        <v>251</v>
      </c>
      <c r="B81" s="181" t="s">
        <v>493</v>
      </c>
      <c r="C81" s="170"/>
      <c r="D81" s="170"/>
      <c r="E81" s="106"/>
    </row>
    <row r="82" spans="1:5" s="53" customFormat="1" ht="12" customHeight="1" thickBot="1">
      <c r="A82" s="199" t="s">
        <v>232</v>
      </c>
      <c r="B82" s="109" t="s">
        <v>252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3" customFormat="1" ht="12" customHeight="1">
      <c r="A83" s="200" t="s">
        <v>233</v>
      </c>
      <c r="B83" s="179" t="s">
        <v>234</v>
      </c>
      <c r="C83" s="170"/>
      <c r="D83" s="170"/>
      <c r="E83" s="106"/>
    </row>
    <row r="84" spans="1:5" s="53" customFormat="1" ht="12" customHeight="1">
      <c r="A84" s="201" t="s">
        <v>235</v>
      </c>
      <c r="B84" s="180" t="s">
        <v>236</v>
      </c>
      <c r="C84" s="170"/>
      <c r="D84" s="170"/>
      <c r="E84" s="106"/>
    </row>
    <row r="85" spans="1:5" s="53" customFormat="1" ht="12" customHeight="1">
      <c r="A85" s="201" t="s">
        <v>237</v>
      </c>
      <c r="B85" s="180" t="s">
        <v>238</v>
      </c>
      <c r="C85" s="170"/>
      <c r="D85" s="170"/>
      <c r="E85" s="106"/>
    </row>
    <row r="86" spans="1:5" s="52" customFormat="1" ht="12" customHeight="1" thickBot="1">
      <c r="A86" s="202" t="s">
        <v>239</v>
      </c>
      <c r="B86" s="181" t="s">
        <v>240</v>
      </c>
      <c r="C86" s="170"/>
      <c r="D86" s="170"/>
      <c r="E86" s="106"/>
    </row>
    <row r="87" spans="1:5" s="52" customFormat="1" ht="12" customHeight="1" thickBot="1">
      <c r="A87" s="199" t="s">
        <v>241</v>
      </c>
      <c r="B87" s="109" t="s">
        <v>377</v>
      </c>
      <c r="C87" s="222"/>
      <c r="D87" s="222"/>
      <c r="E87" s="223"/>
    </row>
    <row r="88" spans="1:5" s="52" customFormat="1" ht="12" customHeight="1" thickBot="1">
      <c r="A88" s="199" t="s">
        <v>395</v>
      </c>
      <c r="B88" s="109" t="s">
        <v>242</v>
      </c>
      <c r="C88" s="222"/>
      <c r="D88" s="222"/>
      <c r="E88" s="223"/>
    </row>
    <row r="89" spans="1:5" s="52" customFormat="1" ht="12" customHeight="1" thickBot="1">
      <c r="A89" s="199" t="s">
        <v>396</v>
      </c>
      <c r="B89" s="186" t="s">
        <v>380</v>
      </c>
      <c r="C89" s="172">
        <f>+C66+C70+C75+C78+C82+C88+C87</f>
        <v>203503064</v>
      </c>
      <c r="D89" s="172">
        <f>+D66+D70+D75+D78+D82+D88+D87</f>
        <v>203820726</v>
      </c>
      <c r="E89" s="208">
        <f>+E66+E70+E75+E78+E82+E88+E87</f>
        <v>221915450</v>
      </c>
    </row>
    <row r="90" spans="1:5" s="52" customFormat="1" ht="12" customHeight="1" thickBot="1">
      <c r="A90" s="203" t="s">
        <v>397</v>
      </c>
      <c r="B90" s="187" t="s">
        <v>398</v>
      </c>
      <c r="C90" s="172">
        <f>+C65+C89</f>
        <v>576563449</v>
      </c>
      <c r="D90" s="172">
        <f>+D65+D89</f>
        <v>614459739</v>
      </c>
      <c r="E90" s="208">
        <f>+E65+E89</f>
        <v>645014788</v>
      </c>
    </row>
    <row r="91" spans="1:3" s="53" customFormat="1" ht="15" customHeight="1" thickBot="1">
      <c r="A91" s="86"/>
      <c r="B91" s="87"/>
      <c r="C91" s="148"/>
    </row>
    <row r="92" spans="1:5" s="46" customFormat="1" ht="16.5" customHeight="1" thickBot="1">
      <c r="A92" s="873" t="s">
        <v>40</v>
      </c>
      <c r="B92" s="874"/>
      <c r="C92" s="874"/>
      <c r="D92" s="874"/>
      <c r="E92" s="875"/>
    </row>
    <row r="93" spans="1:5" s="54" customFormat="1" ht="12" customHeight="1" thickBot="1">
      <c r="A93" s="173" t="s">
        <v>6</v>
      </c>
      <c r="B93" s="24" t="s">
        <v>402</v>
      </c>
      <c r="C93" s="165">
        <f>+C94+C95+C96+C97+C98+C111</f>
        <v>188993959</v>
      </c>
      <c r="D93" s="165">
        <f>+D94+D95+D96+D97+D98+D111</f>
        <v>204285217</v>
      </c>
      <c r="E93" s="233">
        <f>+E94+E95+E96+E97+E98+E111</f>
        <v>170599390</v>
      </c>
    </row>
    <row r="94" spans="1:5" ht="12" customHeight="1">
      <c r="A94" s="204" t="s">
        <v>63</v>
      </c>
      <c r="B94" s="8" t="s">
        <v>35</v>
      </c>
      <c r="C94" s="240">
        <v>90443120</v>
      </c>
      <c r="D94" s="240">
        <v>91060102</v>
      </c>
      <c r="E94" s="234">
        <v>78845690</v>
      </c>
    </row>
    <row r="95" spans="1:5" ht="12" customHeight="1">
      <c r="A95" s="197" t="s">
        <v>64</v>
      </c>
      <c r="B95" s="6" t="s">
        <v>122</v>
      </c>
      <c r="C95" s="167">
        <v>10476945</v>
      </c>
      <c r="D95" s="167">
        <v>10248870</v>
      </c>
      <c r="E95" s="103">
        <v>9096892</v>
      </c>
    </row>
    <row r="96" spans="1:5" ht="12" customHeight="1">
      <c r="A96" s="197" t="s">
        <v>65</v>
      </c>
      <c r="B96" s="6" t="s">
        <v>90</v>
      </c>
      <c r="C96" s="169">
        <v>59253038</v>
      </c>
      <c r="D96" s="167">
        <v>72073325</v>
      </c>
      <c r="E96" s="105">
        <v>59401422</v>
      </c>
    </row>
    <row r="97" spans="1:5" ht="12" customHeight="1">
      <c r="A97" s="197" t="s">
        <v>66</v>
      </c>
      <c r="B97" s="9" t="s">
        <v>123</v>
      </c>
      <c r="C97" s="169">
        <v>14600000</v>
      </c>
      <c r="D97" s="253">
        <v>17562350</v>
      </c>
      <c r="E97" s="105">
        <v>13704500</v>
      </c>
    </row>
    <row r="98" spans="1:5" ht="12" customHeight="1">
      <c r="A98" s="197" t="s">
        <v>75</v>
      </c>
      <c r="B98" s="17" t="s">
        <v>124</v>
      </c>
      <c r="C98" s="169">
        <v>5600000</v>
      </c>
      <c r="D98" s="253">
        <v>9555414</v>
      </c>
      <c r="E98" s="105">
        <v>9550886</v>
      </c>
    </row>
    <row r="99" spans="1:5" ht="12" customHeight="1">
      <c r="A99" s="197" t="s">
        <v>67</v>
      </c>
      <c r="B99" s="6" t="s">
        <v>399</v>
      </c>
      <c r="C99" s="169"/>
      <c r="D99" s="253">
        <v>24014</v>
      </c>
      <c r="E99" s="105">
        <v>24014</v>
      </c>
    </row>
    <row r="100" spans="1:5" ht="12" customHeight="1">
      <c r="A100" s="197" t="s">
        <v>68</v>
      </c>
      <c r="B100" s="62" t="s">
        <v>343</v>
      </c>
      <c r="C100" s="169"/>
      <c r="D100" s="253"/>
      <c r="E100" s="105"/>
    </row>
    <row r="101" spans="1:5" ht="12" customHeight="1">
      <c r="A101" s="197" t="s">
        <v>76</v>
      </c>
      <c r="B101" s="62" t="s">
        <v>342</v>
      </c>
      <c r="C101" s="169"/>
      <c r="D101" s="253"/>
      <c r="E101" s="105"/>
    </row>
    <row r="102" spans="1:5" ht="12" customHeight="1">
      <c r="A102" s="197" t="s">
        <v>77</v>
      </c>
      <c r="B102" s="62" t="s">
        <v>258</v>
      </c>
      <c r="C102" s="169"/>
      <c r="D102" s="253"/>
      <c r="E102" s="105"/>
    </row>
    <row r="103" spans="1:5" ht="12" customHeight="1">
      <c r="A103" s="197" t="s">
        <v>78</v>
      </c>
      <c r="B103" s="63" t="s">
        <v>259</v>
      </c>
      <c r="C103" s="169"/>
      <c r="D103" s="253"/>
      <c r="E103" s="105"/>
    </row>
    <row r="104" spans="1:5" ht="12" customHeight="1">
      <c r="A104" s="197" t="s">
        <v>79</v>
      </c>
      <c r="B104" s="63" t="s">
        <v>260</v>
      </c>
      <c r="C104" s="169"/>
      <c r="D104" s="253"/>
      <c r="E104" s="105"/>
    </row>
    <row r="105" spans="1:5" ht="12" customHeight="1">
      <c r="A105" s="197" t="s">
        <v>81</v>
      </c>
      <c r="B105" s="62" t="s">
        <v>261</v>
      </c>
      <c r="C105" s="169">
        <v>5600000</v>
      </c>
      <c r="D105" s="253">
        <v>6430000</v>
      </c>
      <c r="E105" s="105">
        <v>6425472</v>
      </c>
    </row>
    <row r="106" spans="1:5" ht="12" customHeight="1">
      <c r="A106" s="197" t="s">
        <v>125</v>
      </c>
      <c r="B106" s="62" t="s">
        <v>262</v>
      </c>
      <c r="C106" s="169"/>
      <c r="D106" s="253"/>
      <c r="E106" s="105"/>
    </row>
    <row r="107" spans="1:5" ht="12" customHeight="1">
      <c r="A107" s="197" t="s">
        <v>256</v>
      </c>
      <c r="B107" s="63" t="s">
        <v>263</v>
      </c>
      <c r="C107" s="167"/>
      <c r="D107" s="253"/>
      <c r="E107" s="105"/>
    </row>
    <row r="108" spans="1:5" ht="12" customHeight="1">
      <c r="A108" s="205" t="s">
        <v>257</v>
      </c>
      <c r="B108" s="64" t="s">
        <v>264</v>
      </c>
      <c r="C108" s="169"/>
      <c r="D108" s="253"/>
      <c r="E108" s="105"/>
    </row>
    <row r="109" spans="1:5" ht="12" customHeight="1">
      <c r="A109" s="197" t="s">
        <v>340</v>
      </c>
      <c r="B109" s="64" t="s">
        <v>265</v>
      </c>
      <c r="C109" s="169"/>
      <c r="D109" s="253"/>
      <c r="E109" s="105"/>
    </row>
    <row r="110" spans="1:5" ht="12" customHeight="1">
      <c r="A110" s="197" t="s">
        <v>341</v>
      </c>
      <c r="B110" s="63" t="s">
        <v>266</v>
      </c>
      <c r="C110" s="167"/>
      <c r="D110" s="252">
        <v>5036400</v>
      </c>
      <c r="E110" s="103">
        <v>4281400</v>
      </c>
    </row>
    <row r="111" spans="1:5" ht="12" customHeight="1">
      <c r="A111" s="197" t="s">
        <v>345</v>
      </c>
      <c r="B111" s="9" t="s">
        <v>36</v>
      </c>
      <c r="C111" s="167">
        <v>8620856</v>
      </c>
      <c r="D111" s="252">
        <v>3785156</v>
      </c>
      <c r="E111" s="103"/>
    </row>
    <row r="112" spans="1:5" ht="12" customHeight="1">
      <c r="A112" s="198" t="s">
        <v>346</v>
      </c>
      <c r="B112" s="6" t="s">
        <v>400</v>
      </c>
      <c r="C112" s="169">
        <v>900856</v>
      </c>
      <c r="D112" s="253">
        <v>3785156</v>
      </c>
      <c r="E112" s="105"/>
    </row>
    <row r="113" spans="1:5" ht="12" customHeight="1" thickBot="1">
      <c r="A113" s="206" t="s">
        <v>347</v>
      </c>
      <c r="B113" s="65" t="s">
        <v>401</v>
      </c>
      <c r="C113" s="241">
        <v>7720000</v>
      </c>
      <c r="D113" s="290"/>
      <c r="E113" s="235"/>
    </row>
    <row r="114" spans="1:5" ht="12" customHeight="1" thickBot="1">
      <c r="A114" s="25" t="s">
        <v>7</v>
      </c>
      <c r="B114" s="23" t="s">
        <v>267</v>
      </c>
      <c r="C114" s="166">
        <f>+C115+C117+C119</f>
        <v>196470061</v>
      </c>
      <c r="D114" s="250">
        <f>+D115+D117+D119</f>
        <v>204204412</v>
      </c>
      <c r="E114" s="102">
        <f>+E115+E117+E119</f>
        <v>79496548</v>
      </c>
    </row>
    <row r="115" spans="1:5" ht="12" customHeight="1">
      <c r="A115" s="196" t="s">
        <v>69</v>
      </c>
      <c r="B115" s="6" t="s">
        <v>143</v>
      </c>
      <c r="C115" s="168">
        <v>182192849</v>
      </c>
      <c r="D115" s="251">
        <v>190018008</v>
      </c>
      <c r="E115" s="104">
        <v>66918679</v>
      </c>
    </row>
    <row r="116" spans="1:5" ht="12" customHeight="1">
      <c r="A116" s="196" t="s">
        <v>70</v>
      </c>
      <c r="B116" s="10" t="s">
        <v>271</v>
      </c>
      <c r="C116" s="168"/>
      <c r="D116" s="251"/>
      <c r="E116" s="104"/>
    </row>
    <row r="117" spans="1:5" ht="12" customHeight="1">
      <c r="A117" s="196" t="s">
        <v>71</v>
      </c>
      <c r="B117" s="10" t="s">
        <v>126</v>
      </c>
      <c r="C117" s="167">
        <v>14277212</v>
      </c>
      <c r="D117" s="252">
        <v>14186404</v>
      </c>
      <c r="E117" s="103">
        <v>12577869</v>
      </c>
    </row>
    <row r="118" spans="1:5" ht="12" customHeight="1">
      <c r="A118" s="196" t="s">
        <v>72</v>
      </c>
      <c r="B118" s="10" t="s">
        <v>272</v>
      </c>
      <c r="C118" s="167"/>
      <c r="D118" s="252"/>
      <c r="E118" s="103"/>
    </row>
    <row r="119" spans="1:5" ht="12" customHeight="1">
      <c r="A119" s="196" t="s">
        <v>73</v>
      </c>
      <c r="B119" s="111" t="s">
        <v>145</v>
      </c>
      <c r="C119" s="167"/>
      <c r="D119" s="252"/>
      <c r="E119" s="103"/>
    </row>
    <row r="120" spans="1:5" ht="12" customHeight="1">
      <c r="A120" s="196" t="s">
        <v>80</v>
      </c>
      <c r="B120" s="110" t="s">
        <v>332</v>
      </c>
      <c r="C120" s="167"/>
      <c r="D120" s="252"/>
      <c r="E120" s="103"/>
    </row>
    <row r="121" spans="1:5" ht="12" customHeight="1">
      <c r="A121" s="196" t="s">
        <v>82</v>
      </c>
      <c r="B121" s="175" t="s">
        <v>277</v>
      </c>
      <c r="C121" s="167"/>
      <c r="D121" s="252"/>
      <c r="E121" s="103"/>
    </row>
    <row r="122" spans="1:5" ht="12" customHeight="1">
      <c r="A122" s="196" t="s">
        <v>127</v>
      </c>
      <c r="B122" s="63" t="s">
        <v>260</v>
      </c>
      <c r="C122" s="167"/>
      <c r="D122" s="252"/>
      <c r="E122" s="103"/>
    </row>
    <row r="123" spans="1:5" ht="12" customHeight="1">
      <c r="A123" s="196" t="s">
        <v>128</v>
      </c>
      <c r="B123" s="63" t="s">
        <v>276</v>
      </c>
      <c r="C123" s="167"/>
      <c r="D123" s="252"/>
      <c r="E123" s="103"/>
    </row>
    <row r="124" spans="1:5" ht="12" customHeight="1">
      <c r="A124" s="196" t="s">
        <v>129</v>
      </c>
      <c r="B124" s="63" t="s">
        <v>275</v>
      </c>
      <c r="C124" s="167"/>
      <c r="D124" s="252"/>
      <c r="E124" s="103"/>
    </row>
    <row r="125" spans="1:5" ht="12" customHeight="1">
      <c r="A125" s="196" t="s">
        <v>268</v>
      </c>
      <c r="B125" s="63" t="s">
        <v>263</v>
      </c>
      <c r="C125" s="167"/>
      <c r="D125" s="252"/>
      <c r="E125" s="103"/>
    </row>
    <row r="126" spans="1:5" ht="12" customHeight="1">
      <c r="A126" s="196" t="s">
        <v>269</v>
      </c>
      <c r="B126" s="63" t="s">
        <v>274</v>
      </c>
      <c r="C126" s="167"/>
      <c r="D126" s="252"/>
      <c r="E126" s="103"/>
    </row>
    <row r="127" spans="1:5" ht="12" customHeight="1" thickBot="1">
      <c r="A127" s="205" t="s">
        <v>270</v>
      </c>
      <c r="B127" s="63" t="s">
        <v>273</v>
      </c>
      <c r="C127" s="169"/>
      <c r="D127" s="253"/>
      <c r="E127" s="105"/>
    </row>
    <row r="128" spans="1:5" ht="12" customHeight="1" thickBot="1">
      <c r="A128" s="25" t="s">
        <v>8</v>
      </c>
      <c r="B128" s="56" t="s">
        <v>350</v>
      </c>
      <c r="C128" s="166">
        <f>+C93+C114</f>
        <v>385464020</v>
      </c>
      <c r="D128" s="250">
        <f>+D93+D114</f>
        <v>408489629</v>
      </c>
      <c r="E128" s="102">
        <f>+E93+E114</f>
        <v>250095938</v>
      </c>
    </row>
    <row r="129" spans="1:5" ht="12" customHeight="1" thickBot="1">
      <c r="A129" s="25" t="s">
        <v>9</v>
      </c>
      <c r="B129" s="56" t="s">
        <v>351</v>
      </c>
      <c r="C129" s="166">
        <f>+C130+C131+C132</f>
        <v>0</v>
      </c>
      <c r="D129" s="250">
        <f>+D130+D131+D132</f>
        <v>0</v>
      </c>
      <c r="E129" s="102">
        <f>+E130+E131+E132</f>
        <v>0</v>
      </c>
    </row>
    <row r="130" spans="1:5" s="54" customFormat="1" ht="12" customHeight="1">
      <c r="A130" s="196" t="s">
        <v>177</v>
      </c>
      <c r="B130" s="7" t="s">
        <v>405</v>
      </c>
      <c r="C130" s="167"/>
      <c r="D130" s="252"/>
      <c r="E130" s="103"/>
    </row>
    <row r="131" spans="1:5" ht="12" customHeight="1">
      <c r="A131" s="196" t="s">
        <v>178</v>
      </c>
      <c r="B131" s="7" t="s">
        <v>359</v>
      </c>
      <c r="C131" s="167"/>
      <c r="D131" s="252"/>
      <c r="E131" s="103"/>
    </row>
    <row r="132" spans="1:5" ht="12" customHeight="1" thickBot="1">
      <c r="A132" s="205" t="s">
        <v>179</v>
      </c>
      <c r="B132" s="5" t="s">
        <v>404</v>
      </c>
      <c r="C132" s="167"/>
      <c r="D132" s="252"/>
      <c r="E132" s="103"/>
    </row>
    <row r="133" spans="1:5" ht="12" customHeight="1" thickBot="1">
      <c r="A133" s="25" t="s">
        <v>10</v>
      </c>
      <c r="B133" s="56" t="s">
        <v>352</v>
      </c>
      <c r="C133" s="166">
        <f>+C134+C135+C136+C137+C138+C139</f>
        <v>0</v>
      </c>
      <c r="D133" s="250">
        <f>+D134+D135+D136+D137+D138+D139</f>
        <v>0</v>
      </c>
      <c r="E133" s="102">
        <f>+E134+E135+E136+E137+E138+E139</f>
        <v>0</v>
      </c>
    </row>
    <row r="134" spans="1:5" ht="12" customHeight="1">
      <c r="A134" s="196" t="s">
        <v>56</v>
      </c>
      <c r="B134" s="7" t="s">
        <v>361</v>
      </c>
      <c r="C134" s="167"/>
      <c r="D134" s="252"/>
      <c r="E134" s="103"/>
    </row>
    <row r="135" spans="1:5" ht="12" customHeight="1">
      <c r="A135" s="196" t="s">
        <v>57</v>
      </c>
      <c r="B135" s="7" t="s">
        <v>353</v>
      </c>
      <c r="C135" s="167"/>
      <c r="D135" s="252"/>
      <c r="E135" s="103"/>
    </row>
    <row r="136" spans="1:5" ht="12" customHeight="1">
      <c r="A136" s="196" t="s">
        <v>58</v>
      </c>
      <c r="B136" s="7" t="s">
        <v>354</v>
      </c>
      <c r="C136" s="167"/>
      <c r="D136" s="252"/>
      <c r="E136" s="103"/>
    </row>
    <row r="137" spans="1:5" ht="12" customHeight="1">
      <c r="A137" s="196" t="s">
        <v>114</v>
      </c>
      <c r="B137" s="7" t="s">
        <v>403</v>
      </c>
      <c r="C137" s="167"/>
      <c r="D137" s="252"/>
      <c r="E137" s="103"/>
    </row>
    <row r="138" spans="1:5" ht="12" customHeight="1">
      <c r="A138" s="196" t="s">
        <v>115</v>
      </c>
      <c r="B138" s="7" t="s">
        <v>356</v>
      </c>
      <c r="C138" s="167"/>
      <c r="D138" s="252"/>
      <c r="E138" s="103"/>
    </row>
    <row r="139" spans="1:5" s="54" customFormat="1" ht="12" customHeight="1" thickBot="1">
      <c r="A139" s="205" t="s">
        <v>116</v>
      </c>
      <c r="B139" s="5" t="s">
        <v>357</v>
      </c>
      <c r="C139" s="167"/>
      <c r="D139" s="252"/>
      <c r="E139" s="103"/>
    </row>
    <row r="140" spans="1:11" ht="12" customHeight="1" thickBot="1">
      <c r="A140" s="25" t="s">
        <v>11</v>
      </c>
      <c r="B140" s="56" t="s">
        <v>418</v>
      </c>
      <c r="C140" s="172">
        <f>+C141+C142+C144+C145+C143</f>
        <v>191099429</v>
      </c>
      <c r="D140" s="254">
        <f>+D141+D142+D144+D145+D143</f>
        <v>205970110</v>
      </c>
      <c r="E140" s="208">
        <f>+E141+E142+E144+E145+E143</f>
        <v>196619957</v>
      </c>
      <c r="K140" s="95"/>
    </row>
    <row r="141" spans="1:5" ht="12.75">
      <c r="A141" s="196" t="s">
        <v>59</v>
      </c>
      <c r="B141" s="7" t="s">
        <v>278</v>
      </c>
      <c r="C141" s="167"/>
      <c r="D141" s="252"/>
      <c r="E141" s="103"/>
    </row>
    <row r="142" spans="1:5" ht="12" customHeight="1">
      <c r="A142" s="196" t="s">
        <v>60</v>
      </c>
      <c r="B142" s="7" t="s">
        <v>279</v>
      </c>
      <c r="C142" s="167"/>
      <c r="D142" s="252">
        <v>7715657</v>
      </c>
      <c r="E142" s="103">
        <v>7715657</v>
      </c>
    </row>
    <row r="143" spans="1:5" ht="12" customHeight="1">
      <c r="A143" s="196" t="s">
        <v>195</v>
      </c>
      <c r="B143" s="7" t="s">
        <v>417</v>
      </c>
      <c r="C143" s="167">
        <v>191099429</v>
      </c>
      <c r="D143" s="252">
        <v>198254453</v>
      </c>
      <c r="E143" s="103">
        <v>188904300</v>
      </c>
    </row>
    <row r="144" spans="1:5" s="54" customFormat="1" ht="12" customHeight="1">
      <c r="A144" s="196" t="s">
        <v>196</v>
      </c>
      <c r="B144" s="7" t="s">
        <v>366</v>
      </c>
      <c r="C144" s="167"/>
      <c r="D144" s="252"/>
      <c r="E144" s="103"/>
    </row>
    <row r="145" spans="1:5" s="54" customFormat="1" ht="12" customHeight="1" thickBot="1">
      <c r="A145" s="205" t="s">
        <v>197</v>
      </c>
      <c r="B145" s="5" t="s">
        <v>295</v>
      </c>
      <c r="C145" s="167"/>
      <c r="D145" s="252"/>
      <c r="E145" s="103"/>
    </row>
    <row r="146" spans="1:5" s="54" customFormat="1" ht="12" customHeight="1" thickBot="1">
      <c r="A146" s="25" t="s">
        <v>12</v>
      </c>
      <c r="B146" s="56" t="s">
        <v>367</v>
      </c>
      <c r="C146" s="243">
        <f>+C147+C148+C149+C150+C151</f>
        <v>0</v>
      </c>
      <c r="D146" s="255">
        <f>+D147+D148+D149+D150+D151</f>
        <v>0</v>
      </c>
      <c r="E146" s="237">
        <f>+E147+E148+E149+E150+E151</f>
        <v>0</v>
      </c>
    </row>
    <row r="147" spans="1:5" s="54" customFormat="1" ht="12" customHeight="1">
      <c r="A147" s="196" t="s">
        <v>61</v>
      </c>
      <c r="B147" s="7" t="s">
        <v>362</v>
      </c>
      <c r="C147" s="167"/>
      <c r="D147" s="252"/>
      <c r="E147" s="103"/>
    </row>
    <row r="148" spans="1:5" s="54" customFormat="1" ht="12" customHeight="1">
      <c r="A148" s="196" t="s">
        <v>62</v>
      </c>
      <c r="B148" s="7" t="s">
        <v>369</v>
      </c>
      <c r="C148" s="167"/>
      <c r="D148" s="252"/>
      <c r="E148" s="103"/>
    </row>
    <row r="149" spans="1:5" s="54" customFormat="1" ht="12" customHeight="1">
      <c r="A149" s="196" t="s">
        <v>207</v>
      </c>
      <c r="B149" s="7" t="s">
        <v>364</v>
      </c>
      <c r="C149" s="167"/>
      <c r="D149" s="252"/>
      <c r="E149" s="103"/>
    </row>
    <row r="150" spans="1:5" s="54" customFormat="1" ht="12" customHeight="1">
      <c r="A150" s="196" t="s">
        <v>208</v>
      </c>
      <c r="B150" s="7" t="s">
        <v>406</v>
      </c>
      <c r="C150" s="167"/>
      <c r="D150" s="252"/>
      <c r="E150" s="103"/>
    </row>
    <row r="151" spans="1:5" ht="12.75" customHeight="1" thickBot="1">
      <c r="A151" s="205" t="s">
        <v>368</v>
      </c>
      <c r="B151" s="5" t="s">
        <v>371</v>
      </c>
      <c r="C151" s="169"/>
      <c r="D151" s="253"/>
      <c r="E151" s="105"/>
    </row>
    <row r="152" spans="1:5" ht="12.75" customHeight="1" thickBot="1">
      <c r="A152" s="232" t="s">
        <v>13</v>
      </c>
      <c r="B152" s="56" t="s">
        <v>372</v>
      </c>
      <c r="C152" s="243"/>
      <c r="D152" s="255"/>
      <c r="E152" s="237"/>
    </row>
    <row r="153" spans="1:5" ht="12.75" customHeight="1" thickBot="1">
      <c r="A153" s="232" t="s">
        <v>14</v>
      </c>
      <c r="B153" s="56" t="s">
        <v>373</v>
      </c>
      <c r="C153" s="243"/>
      <c r="D153" s="255"/>
      <c r="E153" s="237"/>
    </row>
    <row r="154" spans="1:5" ht="12" customHeight="1" thickBot="1">
      <c r="A154" s="25" t="s">
        <v>15</v>
      </c>
      <c r="B154" s="56" t="s">
        <v>375</v>
      </c>
      <c r="C154" s="245">
        <f>+C129+C133+C140+C146+C152+C153</f>
        <v>191099429</v>
      </c>
      <c r="D154" s="257">
        <f>+D129+D133+D140+D146+D152+D153</f>
        <v>205970110</v>
      </c>
      <c r="E154" s="239">
        <f>+E129+E133+E140+E146+E152+E153</f>
        <v>196619957</v>
      </c>
    </row>
    <row r="155" spans="1:5" ht="15" customHeight="1" thickBot="1">
      <c r="A155" s="207" t="s">
        <v>16</v>
      </c>
      <c r="B155" s="153" t="s">
        <v>374</v>
      </c>
      <c r="C155" s="245">
        <f>+C128+C154</f>
        <v>576563449</v>
      </c>
      <c r="D155" s="257">
        <f>+D128+D154</f>
        <v>614459739</v>
      </c>
      <c r="E155" s="239">
        <f>+E128+E154</f>
        <v>446715895</v>
      </c>
    </row>
    <row r="156" spans="1:5" ht="13.5" thickBot="1">
      <c r="A156" s="156"/>
      <c r="B156" s="157"/>
      <c r="C156" s="654">
        <f>C90-C155</f>
        <v>0</v>
      </c>
      <c r="D156" s="654">
        <f>D90-D155</f>
        <v>0</v>
      </c>
      <c r="E156" s="158"/>
    </row>
    <row r="157" spans="1:5" ht="15" customHeight="1" thickBot="1">
      <c r="A157" s="299" t="s">
        <v>486</v>
      </c>
      <c r="B157" s="300"/>
      <c r="C157" s="289">
        <v>5</v>
      </c>
      <c r="D157" s="289">
        <v>5</v>
      </c>
      <c r="E157" s="288">
        <v>5</v>
      </c>
    </row>
    <row r="158" spans="1:5" ht="14.25" customHeight="1" thickBot="1">
      <c r="A158" s="301" t="s">
        <v>487</v>
      </c>
      <c r="B158" s="302"/>
      <c r="C158" s="289">
        <v>52</v>
      </c>
      <c r="D158" s="289">
        <v>52</v>
      </c>
      <c r="E158" s="288">
        <v>54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I13" sqref="I13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1"/>
      <c r="B1" s="333"/>
      <c r="C1" s="334"/>
      <c r="D1" s="334"/>
      <c r="E1" s="657" t="str">
        <f>CONCATENATE("12. melléklet ",Z_ALAPADATOK!A7," ",Z_ALAPADATOK!B7," ",Z_ALAPADATOK!C7," ",Z_ALAPADATOK!D7," ",Z_ALAPADATOK!E7," ",Z_ALAPADATOK!F7," ",Z_ALAPADATOK!G7," ",Z_ALAPADATOK!H7)</f>
        <v>12. melléklet a 8 / 2021. ( V.25 ) önkormányzati rendelethez</v>
      </c>
    </row>
    <row r="2" spans="1:5" s="50" customFormat="1" ht="21" customHeight="1" thickBot="1">
      <c r="A2" s="330" t="s">
        <v>44</v>
      </c>
      <c r="B2" s="876" t="str">
        <f>CONCATENATE(Z_ALAPADATOK!A3)</f>
        <v>BEKECS KÖZSÉG Önkormányzata</v>
      </c>
      <c r="C2" s="876"/>
      <c r="D2" s="876"/>
      <c r="E2" s="331" t="s">
        <v>38</v>
      </c>
    </row>
    <row r="3" spans="1:5" s="50" customFormat="1" ht="24.75" thickBot="1">
      <c r="A3" s="330" t="s">
        <v>135</v>
      </c>
      <c r="B3" s="876" t="s">
        <v>324</v>
      </c>
      <c r="C3" s="876"/>
      <c r="D3" s="876"/>
      <c r="E3" s="332" t="s">
        <v>42</v>
      </c>
    </row>
    <row r="4" spans="1:5" s="51" customFormat="1" ht="15.75" customHeight="1" thickBot="1">
      <c r="A4" s="324"/>
      <c r="B4" s="324"/>
      <c r="C4" s="325"/>
      <c r="D4" s="326"/>
      <c r="E4" s="325" t="str">
        <f>'11'!E4</f>
        <v> Forintban!</v>
      </c>
    </row>
    <row r="5" spans="1:5" ht="24.75" thickBot="1">
      <c r="A5" s="327" t="s">
        <v>136</v>
      </c>
      <c r="B5" s="328" t="s">
        <v>485</v>
      </c>
      <c r="C5" s="328" t="s">
        <v>450</v>
      </c>
      <c r="D5" s="329" t="s">
        <v>451</v>
      </c>
      <c r="E5" s="312" t="str">
        <f>CONCATENATE('11'!E5)</f>
        <v>Teljesítés
2020. XII. 31.</v>
      </c>
    </row>
    <row r="6" spans="1:5" s="46" customFormat="1" ht="12.75" customHeight="1" thickBot="1">
      <c r="A6" s="74" t="s">
        <v>386</v>
      </c>
      <c r="B6" s="75" t="s">
        <v>387</v>
      </c>
      <c r="C6" s="75" t="s">
        <v>388</v>
      </c>
      <c r="D6" s="283" t="s">
        <v>390</v>
      </c>
      <c r="E6" s="76" t="s">
        <v>389</v>
      </c>
    </row>
    <row r="7" spans="1:5" s="46" customFormat="1" ht="15.75" customHeight="1" thickBot="1">
      <c r="A7" s="873" t="s">
        <v>39</v>
      </c>
      <c r="B7" s="874"/>
      <c r="C7" s="874"/>
      <c r="D7" s="874"/>
      <c r="E7" s="875"/>
    </row>
    <row r="8" spans="1:5" s="46" customFormat="1" ht="12" customHeight="1" thickBot="1">
      <c r="A8" s="25" t="s">
        <v>6</v>
      </c>
      <c r="B8" s="19" t="s">
        <v>162</v>
      </c>
      <c r="C8" s="166">
        <f>+C9+C10+C11+C12+C13+C14</f>
        <v>0</v>
      </c>
      <c r="D8" s="250">
        <f>+D9+D10+D11+D12+D13+D14</f>
        <v>0</v>
      </c>
      <c r="E8" s="102">
        <f>+E9+E10+E11+E12+E13+E14</f>
        <v>0</v>
      </c>
    </row>
    <row r="9" spans="1:5" s="52" customFormat="1" ht="12" customHeight="1">
      <c r="A9" s="196" t="s">
        <v>63</v>
      </c>
      <c r="B9" s="179" t="s">
        <v>163</v>
      </c>
      <c r="C9" s="168"/>
      <c r="D9" s="251"/>
      <c r="E9" s="104"/>
    </row>
    <row r="10" spans="1:5" s="53" customFormat="1" ht="12" customHeight="1">
      <c r="A10" s="197" t="s">
        <v>64</v>
      </c>
      <c r="B10" s="180" t="s">
        <v>164</v>
      </c>
      <c r="C10" s="167"/>
      <c r="D10" s="252"/>
      <c r="E10" s="103"/>
    </row>
    <row r="11" spans="1:5" s="53" customFormat="1" ht="12" customHeight="1">
      <c r="A11" s="197" t="s">
        <v>65</v>
      </c>
      <c r="B11" s="180" t="s">
        <v>165</v>
      </c>
      <c r="C11" s="167"/>
      <c r="D11" s="252"/>
      <c r="E11" s="103"/>
    </row>
    <row r="12" spans="1:5" s="53" customFormat="1" ht="12" customHeight="1">
      <c r="A12" s="197" t="s">
        <v>66</v>
      </c>
      <c r="B12" s="180" t="s">
        <v>166</v>
      </c>
      <c r="C12" s="167"/>
      <c r="D12" s="252"/>
      <c r="E12" s="103"/>
    </row>
    <row r="13" spans="1:5" s="53" customFormat="1" ht="12" customHeight="1">
      <c r="A13" s="197" t="s">
        <v>97</v>
      </c>
      <c r="B13" s="180" t="s">
        <v>394</v>
      </c>
      <c r="C13" s="167"/>
      <c r="D13" s="252"/>
      <c r="E13" s="103"/>
    </row>
    <row r="14" spans="1:5" s="52" customFormat="1" ht="12" customHeight="1" thickBot="1">
      <c r="A14" s="198" t="s">
        <v>67</v>
      </c>
      <c r="B14" s="181" t="s">
        <v>335</v>
      </c>
      <c r="C14" s="167"/>
      <c r="D14" s="252"/>
      <c r="E14" s="103"/>
    </row>
    <row r="15" spans="1:5" s="52" customFormat="1" ht="12" customHeight="1" thickBot="1">
      <c r="A15" s="25" t="s">
        <v>7</v>
      </c>
      <c r="B15" s="109" t="s">
        <v>167</v>
      </c>
      <c r="C15" s="166">
        <f>+C16+C17+C18+C19+C20</f>
        <v>0</v>
      </c>
      <c r="D15" s="250">
        <f>+D16+D17+D18+D19+D20</f>
        <v>0</v>
      </c>
      <c r="E15" s="102">
        <f>+E16+E17+E18+E19+E20</f>
        <v>0</v>
      </c>
    </row>
    <row r="16" spans="1:5" s="52" customFormat="1" ht="12" customHeight="1">
      <c r="A16" s="196" t="s">
        <v>69</v>
      </c>
      <c r="B16" s="179" t="s">
        <v>168</v>
      </c>
      <c r="C16" s="168"/>
      <c r="D16" s="251"/>
      <c r="E16" s="104"/>
    </row>
    <row r="17" spans="1:5" s="52" customFormat="1" ht="12" customHeight="1">
      <c r="A17" s="197" t="s">
        <v>70</v>
      </c>
      <c r="B17" s="180" t="s">
        <v>169</v>
      </c>
      <c r="C17" s="167"/>
      <c r="D17" s="252"/>
      <c r="E17" s="103"/>
    </row>
    <row r="18" spans="1:5" s="52" customFormat="1" ht="12" customHeight="1">
      <c r="A18" s="197" t="s">
        <v>71</v>
      </c>
      <c r="B18" s="180" t="s">
        <v>326</v>
      </c>
      <c r="C18" s="167"/>
      <c r="D18" s="252"/>
      <c r="E18" s="103"/>
    </row>
    <row r="19" spans="1:5" s="52" customFormat="1" ht="12" customHeight="1">
      <c r="A19" s="197" t="s">
        <v>72</v>
      </c>
      <c r="B19" s="180" t="s">
        <v>327</v>
      </c>
      <c r="C19" s="167"/>
      <c r="D19" s="252"/>
      <c r="E19" s="103"/>
    </row>
    <row r="20" spans="1:5" s="52" customFormat="1" ht="12" customHeight="1">
      <c r="A20" s="197" t="s">
        <v>73</v>
      </c>
      <c r="B20" s="180" t="s">
        <v>170</v>
      </c>
      <c r="C20" s="167"/>
      <c r="D20" s="252"/>
      <c r="E20" s="103"/>
    </row>
    <row r="21" spans="1:5" s="53" customFormat="1" ht="12" customHeight="1" thickBot="1">
      <c r="A21" s="198" t="s">
        <v>80</v>
      </c>
      <c r="B21" s="181" t="s">
        <v>171</v>
      </c>
      <c r="C21" s="169"/>
      <c r="D21" s="253"/>
      <c r="E21" s="105"/>
    </row>
    <row r="22" spans="1:5" s="53" customFormat="1" ht="12" customHeight="1" thickBot="1">
      <c r="A22" s="25" t="s">
        <v>8</v>
      </c>
      <c r="B22" s="19" t="s">
        <v>172</v>
      </c>
      <c r="C22" s="166">
        <f>+C23+C24+C25+C26+C27</f>
        <v>0</v>
      </c>
      <c r="D22" s="250">
        <f>+D23+D24+D25+D26+D27</f>
        <v>0</v>
      </c>
      <c r="E22" s="102">
        <f>+E23+E24+E25+E26+E27</f>
        <v>0</v>
      </c>
    </row>
    <row r="23" spans="1:5" s="53" customFormat="1" ht="12" customHeight="1">
      <c r="A23" s="196" t="s">
        <v>52</v>
      </c>
      <c r="B23" s="179" t="s">
        <v>173</v>
      </c>
      <c r="C23" s="168"/>
      <c r="D23" s="251"/>
      <c r="E23" s="104"/>
    </row>
    <row r="24" spans="1:5" s="52" customFormat="1" ht="12" customHeight="1">
      <c r="A24" s="197" t="s">
        <v>53</v>
      </c>
      <c r="B24" s="180" t="s">
        <v>174</v>
      </c>
      <c r="C24" s="167"/>
      <c r="D24" s="252"/>
      <c r="E24" s="103"/>
    </row>
    <row r="25" spans="1:5" s="53" customFormat="1" ht="12" customHeight="1">
      <c r="A25" s="197" t="s">
        <v>54</v>
      </c>
      <c r="B25" s="180" t="s">
        <v>328</v>
      </c>
      <c r="C25" s="167"/>
      <c r="D25" s="252"/>
      <c r="E25" s="103"/>
    </row>
    <row r="26" spans="1:5" s="53" customFormat="1" ht="12" customHeight="1">
      <c r="A26" s="197" t="s">
        <v>55</v>
      </c>
      <c r="B26" s="180" t="s">
        <v>329</v>
      </c>
      <c r="C26" s="167"/>
      <c r="D26" s="252"/>
      <c r="E26" s="103"/>
    </row>
    <row r="27" spans="1:5" s="53" customFormat="1" ht="12" customHeight="1">
      <c r="A27" s="197" t="s">
        <v>110</v>
      </c>
      <c r="B27" s="180" t="s">
        <v>175</v>
      </c>
      <c r="C27" s="167"/>
      <c r="D27" s="252"/>
      <c r="E27" s="103"/>
    </row>
    <row r="28" spans="1:5" s="53" customFormat="1" ht="12" customHeight="1" thickBot="1">
      <c r="A28" s="198" t="s">
        <v>111</v>
      </c>
      <c r="B28" s="181" t="s">
        <v>176</v>
      </c>
      <c r="C28" s="169"/>
      <c r="D28" s="253"/>
      <c r="E28" s="105"/>
    </row>
    <row r="29" spans="1:5" s="53" customFormat="1" ht="12" customHeight="1" thickBot="1">
      <c r="A29" s="25" t="s">
        <v>112</v>
      </c>
      <c r="B29" s="19" t="s">
        <v>477</v>
      </c>
      <c r="C29" s="172">
        <f>SUM(C30:C36)</f>
        <v>1935000</v>
      </c>
      <c r="D29" s="172">
        <f>SUM(D30:D36)</f>
        <v>1935000</v>
      </c>
      <c r="E29" s="208">
        <f>SUM(E30:E36)</f>
        <v>1180000</v>
      </c>
    </row>
    <row r="30" spans="1:5" s="53" customFormat="1" ht="12" customHeight="1">
      <c r="A30" s="196" t="s">
        <v>177</v>
      </c>
      <c r="B30" s="179" t="str">
        <f>'1 '!B33</f>
        <v>Építményadó</v>
      </c>
      <c r="C30" s="168"/>
      <c r="D30" s="168"/>
      <c r="E30" s="104"/>
    </row>
    <row r="31" spans="1:5" s="53" customFormat="1" ht="12" customHeight="1">
      <c r="A31" s="197" t="s">
        <v>178</v>
      </c>
      <c r="B31" s="179" t="str">
        <f>'1 '!B34</f>
        <v>Idegenforgalmi adó </v>
      </c>
      <c r="C31" s="167"/>
      <c r="D31" s="167"/>
      <c r="E31" s="103"/>
    </row>
    <row r="32" spans="1:5" s="53" customFormat="1" ht="12" customHeight="1">
      <c r="A32" s="197" t="s">
        <v>179</v>
      </c>
      <c r="B32" s="179" t="str">
        <f>'1 '!B35</f>
        <v>Iparűzési adó</v>
      </c>
      <c r="C32" s="167">
        <v>1935000</v>
      </c>
      <c r="D32" s="167">
        <v>1935000</v>
      </c>
      <c r="E32" s="103">
        <v>1180000</v>
      </c>
    </row>
    <row r="33" spans="1:5" s="53" customFormat="1" ht="12" customHeight="1">
      <c r="A33" s="197" t="s">
        <v>180</v>
      </c>
      <c r="B33" s="179" t="str">
        <f>'1 '!B36</f>
        <v>Talajterhelési díj</v>
      </c>
      <c r="C33" s="167"/>
      <c r="D33" s="167"/>
      <c r="E33" s="103"/>
    </row>
    <row r="34" spans="1:5" s="53" customFormat="1" ht="12" customHeight="1">
      <c r="A34" s="197" t="s">
        <v>481</v>
      </c>
      <c r="B34" s="179" t="str">
        <f>'1 '!B37</f>
        <v>Gépjárműadó</v>
      </c>
      <c r="C34" s="167"/>
      <c r="D34" s="167"/>
      <c r="E34" s="103"/>
    </row>
    <row r="35" spans="1:5" s="53" customFormat="1" ht="12" customHeight="1">
      <c r="A35" s="197" t="s">
        <v>482</v>
      </c>
      <c r="B35" s="179" t="str">
        <f>'1 '!B38</f>
        <v>Telekadó</v>
      </c>
      <c r="C35" s="167"/>
      <c r="D35" s="167"/>
      <c r="E35" s="103"/>
    </row>
    <row r="36" spans="1:5" s="53" customFormat="1" ht="12" customHeight="1" thickBot="1">
      <c r="A36" s="198" t="s">
        <v>483</v>
      </c>
      <c r="B36" s="179" t="str">
        <f>'1 '!B39</f>
        <v>Kommunális adó</v>
      </c>
      <c r="C36" s="169"/>
      <c r="D36" s="169"/>
      <c r="E36" s="105"/>
    </row>
    <row r="37" spans="1:5" s="53" customFormat="1" ht="12" customHeight="1" thickBot="1">
      <c r="A37" s="25" t="s">
        <v>10</v>
      </c>
      <c r="B37" s="19" t="s">
        <v>336</v>
      </c>
      <c r="C37" s="166">
        <f>SUM(C38:C48)</f>
        <v>0</v>
      </c>
      <c r="D37" s="250">
        <f>SUM(D38:D48)</f>
        <v>0</v>
      </c>
      <c r="E37" s="102">
        <f>SUM(E38:E48)</f>
        <v>0</v>
      </c>
    </row>
    <row r="38" spans="1:5" s="53" customFormat="1" ht="12" customHeight="1">
      <c r="A38" s="196" t="s">
        <v>56</v>
      </c>
      <c r="B38" s="179" t="s">
        <v>184</v>
      </c>
      <c r="C38" s="168"/>
      <c r="D38" s="251"/>
      <c r="E38" s="104"/>
    </row>
    <row r="39" spans="1:5" s="53" customFormat="1" ht="12" customHeight="1">
      <c r="A39" s="197" t="s">
        <v>57</v>
      </c>
      <c r="B39" s="180" t="s">
        <v>185</v>
      </c>
      <c r="C39" s="167"/>
      <c r="D39" s="252"/>
      <c r="E39" s="103"/>
    </row>
    <row r="40" spans="1:5" s="53" customFormat="1" ht="12" customHeight="1">
      <c r="A40" s="197" t="s">
        <v>58</v>
      </c>
      <c r="B40" s="180" t="s">
        <v>186</v>
      </c>
      <c r="C40" s="167"/>
      <c r="D40" s="252"/>
      <c r="E40" s="103"/>
    </row>
    <row r="41" spans="1:5" s="53" customFormat="1" ht="12" customHeight="1">
      <c r="A41" s="197" t="s">
        <v>114</v>
      </c>
      <c r="B41" s="180" t="s">
        <v>187</v>
      </c>
      <c r="C41" s="167"/>
      <c r="D41" s="252"/>
      <c r="E41" s="103"/>
    </row>
    <row r="42" spans="1:5" s="53" customFormat="1" ht="12" customHeight="1">
      <c r="A42" s="197" t="s">
        <v>115</v>
      </c>
      <c r="B42" s="180" t="s">
        <v>188</v>
      </c>
      <c r="C42" s="167"/>
      <c r="D42" s="252"/>
      <c r="E42" s="103"/>
    </row>
    <row r="43" spans="1:5" s="53" customFormat="1" ht="12" customHeight="1">
      <c r="A43" s="197" t="s">
        <v>116</v>
      </c>
      <c r="B43" s="180" t="s">
        <v>189</v>
      </c>
      <c r="C43" s="167"/>
      <c r="D43" s="252"/>
      <c r="E43" s="103"/>
    </row>
    <row r="44" spans="1:5" s="53" customFormat="1" ht="12" customHeight="1">
      <c r="A44" s="197" t="s">
        <v>117</v>
      </c>
      <c r="B44" s="180" t="s">
        <v>190</v>
      </c>
      <c r="C44" s="167"/>
      <c r="D44" s="252"/>
      <c r="E44" s="103"/>
    </row>
    <row r="45" spans="1:5" s="53" customFormat="1" ht="12" customHeight="1">
      <c r="A45" s="197" t="s">
        <v>118</v>
      </c>
      <c r="B45" s="180" t="s">
        <v>484</v>
      </c>
      <c r="C45" s="167"/>
      <c r="D45" s="252"/>
      <c r="E45" s="103"/>
    </row>
    <row r="46" spans="1:5" s="53" customFormat="1" ht="12" customHeight="1">
      <c r="A46" s="197" t="s">
        <v>182</v>
      </c>
      <c r="B46" s="180" t="s">
        <v>192</v>
      </c>
      <c r="C46" s="170"/>
      <c r="D46" s="284"/>
      <c r="E46" s="106"/>
    </row>
    <row r="47" spans="1:5" s="53" customFormat="1" ht="12" customHeight="1">
      <c r="A47" s="198" t="s">
        <v>183</v>
      </c>
      <c r="B47" s="181" t="s">
        <v>338</v>
      </c>
      <c r="C47" s="171"/>
      <c r="D47" s="285"/>
      <c r="E47" s="107"/>
    </row>
    <row r="48" spans="1:5" s="53" customFormat="1" ht="12" customHeight="1" thickBot="1">
      <c r="A48" s="198" t="s">
        <v>337</v>
      </c>
      <c r="B48" s="181" t="s">
        <v>193</v>
      </c>
      <c r="C48" s="171"/>
      <c r="D48" s="285"/>
      <c r="E48" s="107"/>
    </row>
    <row r="49" spans="1:5" s="53" customFormat="1" ht="12" customHeight="1" thickBot="1">
      <c r="A49" s="25" t="s">
        <v>11</v>
      </c>
      <c r="B49" s="19" t="s">
        <v>194</v>
      </c>
      <c r="C49" s="166">
        <f>SUM(C50:C54)</f>
        <v>0</v>
      </c>
      <c r="D49" s="250">
        <f>SUM(D50:D54)</f>
        <v>0</v>
      </c>
      <c r="E49" s="102">
        <f>SUM(E50:E54)</f>
        <v>0</v>
      </c>
    </row>
    <row r="50" spans="1:5" s="53" customFormat="1" ht="12" customHeight="1">
      <c r="A50" s="196" t="s">
        <v>59</v>
      </c>
      <c r="B50" s="179" t="s">
        <v>198</v>
      </c>
      <c r="C50" s="219"/>
      <c r="D50" s="286"/>
      <c r="E50" s="108"/>
    </row>
    <row r="51" spans="1:5" s="53" customFormat="1" ht="12" customHeight="1">
      <c r="A51" s="197" t="s">
        <v>60</v>
      </c>
      <c r="B51" s="180" t="s">
        <v>199</v>
      </c>
      <c r="C51" s="170"/>
      <c r="D51" s="284"/>
      <c r="E51" s="106"/>
    </row>
    <row r="52" spans="1:5" s="53" customFormat="1" ht="12" customHeight="1">
      <c r="A52" s="197" t="s">
        <v>195</v>
      </c>
      <c r="B52" s="180" t="s">
        <v>200</v>
      </c>
      <c r="C52" s="170"/>
      <c r="D52" s="284"/>
      <c r="E52" s="106"/>
    </row>
    <row r="53" spans="1:5" s="53" customFormat="1" ht="12" customHeight="1">
      <c r="A53" s="197" t="s">
        <v>196</v>
      </c>
      <c r="B53" s="180" t="s">
        <v>201</v>
      </c>
      <c r="C53" s="170"/>
      <c r="D53" s="284"/>
      <c r="E53" s="106"/>
    </row>
    <row r="54" spans="1:5" s="53" customFormat="1" ht="12" customHeight="1" thickBot="1">
      <c r="A54" s="198" t="s">
        <v>197</v>
      </c>
      <c r="B54" s="181" t="s">
        <v>202</v>
      </c>
      <c r="C54" s="171"/>
      <c r="D54" s="285"/>
      <c r="E54" s="107"/>
    </row>
    <row r="55" spans="1:5" s="53" customFormat="1" ht="12" customHeight="1" thickBot="1">
      <c r="A55" s="25" t="s">
        <v>119</v>
      </c>
      <c r="B55" s="19" t="s">
        <v>203</v>
      </c>
      <c r="C55" s="166">
        <f>SUM(C56:C58)</f>
        <v>0</v>
      </c>
      <c r="D55" s="250">
        <f>SUM(D56:D58)</f>
        <v>0</v>
      </c>
      <c r="E55" s="102">
        <f>SUM(E56:E58)</f>
        <v>0</v>
      </c>
    </row>
    <row r="56" spans="1:5" s="53" customFormat="1" ht="12" customHeight="1">
      <c r="A56" s="196" t="s">
        <v>61</v>
      </c>
      <c r="B56" s="179" t="s">
        <v>204</v>
      </c>
      <c r="C56" s="168"/>
      <c r="D56" s="251"/>
      <c r="E56" s="104"/>
    </row>
    <row r="57" spans="1:5" s="53" customFormat="1" ht="12" customHeight="1">
      <c r="A57" s="197" t="s">
        <v>62</v>
      </c>
      <c r="B57" s="180" t="s">
        <v>330</v>
      </c>
      <c r="C57" s="167"/>
      <c r="D57" s="252"/>
      <c r="E57" s="103"/>
    </row>
    <row r="58" spans="1:5" s="53" customFormat="1" ht="12" customHeight="1">
      <c r="A58" s="197" t="s">
        <v>207</v>
      </c>
      <c r="B58" s="180" t="s">
        <v>205</v>
      </c>
      <c r="C58" s="167"/>
      <c r="D58" s="252"/>
      <c r="E58" s="103"/>
    </row>
    <row r="59" spans="1:5" s="53" customFormat="1" ht="12" customHeight="1" thickBot="1">
      <c r="A59" s="198" t="s">
        <v>208</v>
      </c>
      <c r="B59" s="181" t="s">
        <v>206</v>
      </c>
      <c r="C59" s="169"/>
      <c r="D59" s="253"/>
      <c r="E59" s="105"/>
    </row>
    <row r="60" spans="1:5" s="53" customFormat="1" ht="12" customHeight="1" thickBot="1">
      <c r="A60" s="25" t="s">
        <v>13</v>
      </c>
      <c r="B60" s="109" t="s">
        <v>209</v>
      </c>
      <c r="C60" s="166">
        <f>SUM(C61:C63)</f>
        <v>0</v>
      </c>
      <c r="D60" s="250">
        <f>SUM(D61:D63)</f>
        <v>0</v>
      </c>
      <c r="E60" s="102">
        <f>SUM(E61:E63)</f>
        <v>0</v>
      </c>
    </row>
    <row r="61" spans="1:5" s="53" customFormat="1" ht="12" customHeight="1">
      <c r="A61" s="196" t="s">
        <v>120</v>
      </c>
      <c r="B61" s="179" t="s">
        <v>211</v>
      </c>
      <c r="C61" s="170"/>
      <c r="D61" s="284"/>
      <c r="E61" s="106"/>
    </row>
    <row r="62" spans="1:5" s="53" customFormat="1" ht="12" customHeight="1">
      <c r="A62" s="197" t="s">
        <v>121</v>
      </c>
      <c r="B62" s="180" t="s">
        <v>331</v>
      </c>
      <c r="C62" s="170"/>
      <c r="D62" s="284"/>
      <c r="E62" s="106"/>
    </row>
    <row r="63" spans="1:5" s="53" customFormat="1" ht="12" customHeight="1">
      <c r="A63" s="197" t="s">
        <v>144</v>
      </c>
      <c r="B63" s="180" t="s">
        <v>212</v>
      </c>
      <c r="C63" s="170"/>
      <c r="D63" s="284"/>
      <c r="E63" s="106"/>
    </row>
    <row r="64" spans="1:5" s="53" customFormat="1" ht="12" customHeight="1" thickBot="1">
      <c r="A64" s="198" t="s">
        <v>210</v>
      </c>
      <c r="B64" s="181" t="s">
        <v>213</v>
      </c>
      <c r="C64" s="170"/>
      <c r="D64" s="284"/>
      <c r="E64" s="106"/>
    </row>
    <row r="65" spans="1:5" s="53" customFormat="1" ht="12" customHeight="1" thickBot="1">
      <c r="A65" s="25" t="s">
        <v>14</v>
      </c>
      <c r="B65" s="19" t="s">
        <v>214</v>
      </c>
      <c r="C65" s="172">
        <f>+C8+C15+C22+C29+C37+C49+C55+C60</f>
        <v>1935000</v>
      </c>
      <c r="D65" s="254">
        <f>+D8+D15+D22+D29+D37+D49+D55+D60</f>
        <v>1935000</v>
      </c>
      <c r="E65" s="208">
        <f>+E8+E15+E22+E29+E37+E49+E55+E60</f>
        <v>1180000</v>
      </c>
    </row>
    <row r="66" spans="1:5" s="53" customFormat="1" ht="12" customHeight="1" thickBot="1">
      <c r="A66" s="199" t="s">
        <v>299</v>
      </c>
      <c r="B66" s="109" t="s">
        <v>216</v>
      </c>
      <c r="C66" s="166">
        <f>SUM(C67:C69)</f>
        <v>0</v>
      </c>
      <c r="D66" s="250">
        <f>SUM(D67:D69)</f>
        <v>0</v>
      </c>
      <c r="E66" s="102">
        <f>SUM(E67:E69)</f>
        <v>0</v>
      </c>
    </row>
    <row r="67" spans="1:5" s="53" customFormat="1" ht="12" customHeight="1">
      <c r="A67" s="196" t="s">
        <v>244</v>
      </c>
      <c r="B67" s="179" t="s">
        <v>217</v>
      </c>
      <c r="C67" s="170"/>
      <c r="D67" s="284"/>
      <c r="E67" s="106"/>
    </row>
    <row r="68" spans="1:5" s="53" customFormat="1" ht="12" customHeight="1">
      <c r="A68" s="197" t="s">
        <v>253</v>
      </c>
      <c r="B68" s="180" t="s">
        <v>218</v>
      </c>
      <c r="C68" s="170"/>
      <c r="D68" s="284"/>
      <c r="E68" s="106"/>
    </row>
    <row r="69" spans="1:5" s="53" customFormat="1" ht="12" customHeight="1" thickBot="1">
      <c r="A69" s="198" t="s">
        <v>254</v>
      </c>
      <c r="B69" s="182" t="s">
        <v>219</v>
      </c>
      <c r="C69" s="170"/>
      <c r="D69" s="287"/>
      <c r="E69" s="106"/>
    </row>
    <row r="70" spans="1:5" s="53" customFormat="1" ht="12" customHeight="1" thickBot="1">
      <c r="A70" s="199" t="s">
        <v>220</v>
      </c>
      <c r="B70" s="109" t="s">
        <v>221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3" customFormat="1" ht="12" customHeight="1">
      <c r="A71" s="196" t="s">
        <v>98</v>
      </c>
      <c r="B71" s="305" t="s">
        <v>222</v>
      </c>
      <c r="C71" s="170"/>
      <c r="D71" s="170"/>
      <c r="E71" s="106"/>
    </row>
    <row r="72" spans="1:5" s="53" customFormat="1" ht="12" customHeight="1">
      <c r="A72" s="197" t="s">
        <v>99</v>
      </c>
      <c r="B72" s="305" t="s">
        <v>491</v>
      </c>
      <c r="C72" s="170"/>
      <c r="D72" s="170"/>
      <c r="E72" s="106"/>
    </row>
    <row r="73" spans="1:5" s="53" customFormat="1" ht="12" customHeight="1">
      <c r="A73" s="197" t="s">
        <v>245</v>
      </c>
      <c r="B73" s="305" t="s">
        <v>223</v>
      </c>
      <c r="C73" s="170"/>
      <c r="D73" s="170"/>
      <c r="E73" s="106"/>
    </row>
    <row r="74" spans="1:5" s="53" customFormat="1" ht="12" customHeight="1" thickBot="1">
      <c r="A74" s="198" t="s">
        <v>246</v>
      </c>
      <c r="B74" s="306" t="s">
        <v>492</v>
      </c>
      <c r="C74" s="170"/>
      <c r="D74" s="170"/>
      <c r="E74" s="106"/>
    </row>
    <row r="75" spans="1:5" s="53" customFormat="1" ht="12" customHeight="1" thickBot="1">
      <c r="A75" s="199" t="s">
        <v>224</v>
      </c>
      <c r="B75" s="109" t="s">
        <v>225</v>
      </c>
      <c r="C75" s="166">
        <f>SUM(C76:C77)</f>
        <v>0</v>
      </c>
      <c r="D75" s="166">
        <f>SUM(D76:D77)</f>
        <v>0</v>
      </c>
      <c r="E75" s="102">
        <f>SUM(E76:E77)</f>
        <v>0</v>
      </c>
    </row>
    <row r="76" spans="1:5" s="53" customFormat="1" ht="12" customHeight="1">
      <c r="A76" s="196" t="s">
        <v>247</v>
      </c>
      <c r="B76" s="179" t="s">
        <v>226</v>
      </c>
      <c r="C76" s="170"/>
      <c r="D76" s="170"/>
      <c r="E76" s="106"/>
    </row>
    <row r="77" spans="1:5" s="53" customFormat="1" ht="12" customHeight="1" thickBot="1">
      <c r="A77" s="198" t="s">
        <v>248</v>
      </c>
      <c r="B77" s="181" t="s">
        <v>227</v>
      </c>
      <c r="C77" s="170"/>
      <c r="D77" s="170"/>
      <c r="E77" s="106"/>
    </row>
    <row r="78" spans="1:5" s="52" customFormat="1" ht="12" customHeight="1" thickBot="1">
      <c r="A78" s="199" t="s">
        <v>228</v>
      </c>
      <c r="B78" s="109" t="s">
        <v>229</v>
      </c>
      <c r="C78" s="166">
        <f>SUM(C79:C81)</f>
        <v>0</v>
      </c>
      <c r="D78" s="166">
        <f>SUM(D79:D81)</f>
        <v>0</v>
      </c>
      <c r="E78" s="102">
        <f>SUM(E79:E81)</f>
        <v>0</v>
      </c>
    </row>
    <row r="79" spans="1:5" s="53" customFormat="1" ht="12" customHeight="1">
      <c r="A79" s="196" t="s">
        <v>249</v>
      </c>
      <c r="B79" s="179" t="s">
        <v>230</v>
      </c>
      <c r="C79" s="170"/>
      <c r="D79" s="170"/>
      <c r="E79" s="106"/>
    </row>
    <row r="80" spans="1:5" s="53" customFormat="1" ht="12" customHeight="1">
      <c r="A80" s="197" t="s">
        <v>250</v>
      </c>
      <c r="B80" s="180" t="s">
        <v>231</v>
      </c>
      <c r="C80" s="170"/>
      <c r="D80" s="170"/>
      <c r="E80" s="106"/>
    </row>
    <row r="81" spans="1:5" s="53" customFormat="1" ht="12" customHeight="1" thickBot="1">
      <c r="A81" s="198" t="s">
        <v>251</v>
      </c>
      <c r="B81" s="181" t="s">
        <v>493</v>
      </c>
      <c r="C81" s="170"/>
      <c r="D81" s="170"/>
      <c r="E81" s="106"/>
    </row>
    <row r="82" spans="1:5" s="53" customFormat="1" ht="12" customHeight="1" thickBot="1">
      <c r="A82" s="199" t="s">
        <v>232</v>
      </c>
      <c r="B82" s="109" t="s">
        <v>252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3" customFormat="1" ht="12" customHeight="1">
      <c r="A83" s="200" t="s">
        <v>233</v>
      </c>
      <c r="B83" s="179" t="s">
        <v>234</v>
      </c>
      <c r="C83" s="170"/>
      <c r="D83" s="170"/>
      <c r="E83" s="106"/>
    </row>
    <row r="84" spans="1:5" s="53" customFormat="1" ht="12" customHeight="1">
      <c r="A84" s="201" t="s">
        <v>235</v>
      </c>
      <c r="B84" s="180" t="s">
        <v>236</v>
      </c>
      <c r="C84" s="170"/>
      <c r="D84" s="170"/>
      <c r="E84" s="106"/>
    </row>
    <row r="85" spans="1:5" s="53" customFormat="1" ht="12" customHeight="1">
      <c r="A85" s="201" t="s">
        <v>237</v>
      </c>
      <c r="B85" s="180" t="s">
        <v>238</v>
      </c>
      <c r="C85" s="170"/>
      <c r="D85" s="170"/>
      <c r="E85" s="106"/>
    </row>
    <row r="86" spans="1:5" s="52" customFormat="1" ht="12" customHeight="1" thickBot="1">
      <c r="A86" s="202" t="s">
        <v>239</v>
      </c>
      <c r="B86" s="181" t="s">
        <v>240</v>
      </c>
      <c r="C86" s="170"/>
      <c r="D86" s="170"/>
      <c r="E86" s="106"/>
    </row>
    <row r="87" spans="1:5" s="52" customFormat="1" ht="12" customHeight="1" thickBot="1">
      <c r="A87" s="199" t="s">
        <v>241</v>
      </c>
      <c r="B87" s="109" t="s">
        <v>377</v>
      </c>
      <c r="C87" s="222"/>
      <c r="D87" s="222"/>
      <c r="E87" s="223"/>
    </row>
    <row r="88" spans="1:5" s="52" customFormat="1" ht="12" customHeight="1" thickBot="1">
      <c r="A88" s="199" t="s">
        <v>395</v>
      </c>
      <c r="B88" s="109" t="s">
        <v>242</v>
      </c>
      <c r="C88" s="222"/>
      <c r="D88" s="222"/>
      <c r="E88" s="223"/>
    </row>
    <row r="89" spans="1:5" s="52" customFormat="1" ht="12" customHeight="1" thickBot="1">
      <c r="A89" s="199" t="s">
        <v>396</v>
      </c>
      <c r="B89" s="186" t="s">
        <v>380</v>
      </c>
      <c r="C89" s="172">
        <f>+C66+C70+C75+C78+C82+C88+C87</f>
        <v>0</v>
      </c>
      <c r="D89" s="172">
        <f>+D66+D70+D75+D78+D82+D88+D87</f>
        <v>0</v>
      </c>
      <c r="E89" s="208">
        <f>+E66+E70+E75+E78+E82+E88+E87</f>
        <v>0</v>
      </c>
    </row>
    <row r="90" spans="1:5" s="52" customFormat="1" ht="12" customHeight="1" thickBot="1">
      <c r="A90" s="203" t="s">
        <v>397</v>
      </c>
      <c r="B90" s="187" t="s">
        <v>398</v>
      </c>
      <c r="C90" s="172">
        <f>+C65+C89</f>
        <v>1935000</v>
      </c>
      <c r="D90" s="172">
        <f>+D65+D89</f>
        <v>1935000</v>
      </c>
      <c r="E90" s="208">
        <f>+E65+E89</f>
        <v>1180000</v>
      </c>
    </row>
    <row r="91" spans="1:3" s="53" customFormat="1" ht="15" customHeight="1" thickBot="1">
      <c r="A91" s="86"/>
      <c r="B91" s="87"/>
      <c r="C91" s="148"/>
    </row>
    <row r="92" spans="1:5" s="46" customFormat="1" ht="16.5" customHeight="1" thickBot="1">
      <c r="A92" s="873" t="s">
        <v>40</v>
      </c>
      <c r="B92" s="874"/>
      <c r="C92" s="874"/>
      <c r="D92" s="874"/>
      <c r="E92" s="875"/>
    </row>
    <row r="93" spans="1:5" s="54" customFormat="1" ht="12" customHeight="1" thickBot="1">
      <c r="A93" s="173" t="s">
        <v>6</v>
      </c>
      <c r="B93" s="24" t="s">
        <v>402</v>
      </c>
      <c r="C93" s="165">
        <f>+C94+C95+C96+C97+C98+C111</f>
        <v>1935000</v>
      </c>
      <c r="D93" s="165">
        <f>+D94+D95+D96+D97+D98+D111</f>
        <v>1935000</v>
      </c>
      <c r="E93" s="233">
        <f>+E94+E95+E96+E97+E98+E111</f>
        <v>1180000</v>
      </c>
    </row>
    <row r="94" spans="1:5" ht="12" customHeight="1">
      <c r="A94" s="204" t="s">
        <v>63</v>
      </c>
      <c r="B94" s="8" t="s">
        <v>35</v>
      </c>
      <c r="C94" s="240"/>
      <c r="D94" s="240"/>
      <c r="E94" s="234"/>
    </row>
    <row r="95" spans="1:5" ht="12" customHeight="1">
      <c r="A95" s="197" t="s">
        <v>64</v>
      </c>
      <c r="B95" s="6" t="s">
        <v>122</v>
      </c>
      <c r="C95" s="167"/>
      <c r="D95" s="167"/>
      <c r="E95" s="103"/>
    </row>
    <row r="96" spans="1:5" ht="12" customHeight="1">
      <c r="A96" s="197" t="s">
        <v>65</v>
      </c>
      <c r="B96" s="6" t="s">
        <v>90</v>
      </c>
      <c r="C96" s="169"/>
      <c r="D96" s="167"/>
      <c r="E96" s="105"/>
    </row>
    <row r="97" spans="1:5" ht="12" customHeight="1">
      <c r="A97" s="197" t="s">
        <v>66</v>
      </c>
      <c r="B97" s="9" t="s">
        <v>123</v>
      </c>
      <c r="C97" s="169"/>
      <c r="D97" s="253"/>
      <c r="E97" s="105"/>
    </row>
    <row r="98" spans="1:5" ht="12" customHeight="1">
      <c r="A98" s="197" t="s">
        <v>75</v>
      </c>
      <c r="B98" s="17" t="s">
        <v>124</v>
      </c>
      <c r="C98" s="169">
        <v>1935000</v>
      </c>
      <c r="D98" s="253">
        <v>1935000</v>
      </c>
      <c r="E98" s="105">
        <v>1180000</v>
      </c>
    </row>
    <row r="99" spans="1:5" ht="12" customHeight="1">
      <c r="A99" s="197" t="s">
        <v>67</v>
      </c>
      <c r="B99" s="6" t="s">
        <v>399</v>
      </c>
      <c r="C99" s="169"/>
      <c r="D99" s="253"/>
      <c r="E99" s="105"/>
    </row>
    <row r="100" spans="1:5" ht="12" customHeight="1">
      <c r="A100" s="197" t="s">
        <v>68</v>
      </c>
      <c r="B100" s="62" t="s">
        <v>343</v>
      </c>
      <c r="C100" s="169"/>
      <c r="D100" s="253"/>
      <c r="E100" s="105"/>
    </row>
    <row r="101" spans="1:5" ht="12" customHeight="1">
      <c r="A101" s="197" t="s">
        <v>76</v>
      </c>
      <c r="B101" s="62" t="s">
        <v>342</v>
      </c>
      <c r="C101" s="169"/>
      <c r="D101" s="253"/>
      <c r="E101" s="105"/>
    </row>
    <row r="102" spans="1:5" ht="12" customHeight="1">
      <c r="A102" s="197" t="s">
        <v>77</v>
      </c>
      <c r="B102" s="62" t="s">
        <v>258</v>
      </c>
      <c r="C102" s="169"/>
      <c r="D102" s="253"/>
      <c r="E102" s="105"/>
    </row>
    <row r="103" spans="1:5" ht="12" customHeight="1">
      <c r="A103" s="197" t="s">
        <v>78</v>
      </c>
      <c r="B103" s="63" t="s">
        <v>259</v>
      </c>
      <c r="C103" s="169"/>
      <c r="D103" s="253"/>
      <c r="E103" s="105"/>
    </row>
    <row r="104" spans="1:5" ht="12" customHeight="1">
      <c r="A104" s="197" t="s">
        <v>79</v>
      </c>
      <c r="B104" s="63" t="s">
        <v>260</v>
      </c>
      <c r="C104" s="169"/>
      <c r="D104" s="253"/>
      <c r="E104" s="105"/>
    </row>
    <row r="105" spans="1:5" ht="12" customHeight="1">
      <c r="A105" s="197" t="s">
        <v>81</v>
      </c>
      <c r="B105" s="62" t="s">
        <v>261</v>
      </c>
      <c r="C105" s="169"/>
      <c r="D105" s="253"/>
      <c r="E105" s="105"/>
    </row>
    <row r="106" spans="1:5" ht="12" customHeight="1">
      <c r="A106" s="197" t="s">
        <v>125</v>
      </c>
      <c r="B106" s="62" t="s">
        <v>262</v>
      </c>
      <c r="C106" s="169"/>
      <c r="D106" s="253"/>
      <c r="E106" s="105"/>
    </row>
    <row r="107" spans="1:5" ht="12" customHeight="1">
      <c r="A107" s="197" t="s">
        <v>256</v>
      </c>
      <c r="B107" s="63" t="s">
        <v>263</v>
      </c>
      <c r="C107" s="167"/>
      <c r="D107" s="253"/>
      <c r="E107" s="105"/>
    </row>
    <row r="108" spans="1:5" ht="12" customHeight="1">
      <c r="A108" s="205" t="s">
        <v>257</v>
      </c>
      <c r="B108" s="64" t="s">
        <v>264</v>
      </c>
      <c r="C108" s="169"/>
      <c r="D108" s="253"/>
      <c r="E108" s="105"/>
    </row>
    <row r="109" spans="1:5" ht="12" customHeight="1">
      <c r="A109" s="197" t="s">
        <v>340</v>
      </c>
      <c r="B109" s="64" t="s">
        <v>265</v>
      </c>
      <c r="C109" s="169"/>
      <c r="D109" s="253"/>
      <c r="E109" s="105"/>
    </row>
    <row r="110" spans="1:5" ht="12" customHeight="1">
      <c r="A110" s="197" t="s">
        <v>341</v>
      </c>
      <c r="B110" s="63" t="s">
        <v>266</v>
      </c>
      <c r="C110" s="167">
        <v>1935000</v>
      </c>
      <c r="D110" s="252">
        <v>1935000</v>
      </c>
      <c r="E110" s="103">
        <v>1180000</v>
      </c>
    </row>
    <row r="111" spans="1:5" ht="12" customHeight="1">
      <c r="A111" s="197" t="s">
        <v>345</v>
      </c>
      <c r="B111" s="9" t="s">
        <v>36</v>
      </c>
      <c r="C111" s="167"/>
      <c r="D111" s="252"/>
      <c r="E111" s="103"/>
    </row>
    <row r="112" spans="1:5" ht="12" customHeight="1">
      <c r="A112" s="198" t="s">
        <v>346</v>
      </c>
      <c r="B112" s="6" t="s">
        <v>400</v>
      </c>
      <c r="C112" s="169"/>
      <c r="D112" s="253"/>
      <c r="E112" s="105"/>
    </row>
    <row r="113" spans="1:5" ht="12" customHeight="1" thickBot="1">
      <c r="A113" s="206" t="s">
        <v>347</v>
      </c>
      <c r="B113" s="65" t="s">
        <v>401</v>
      </c>
      <c r="C113" s="241"/>
      <c r="D113" s="290"/>
      <c r="E113" s="235"/>
    </row>
    <row r="114" spans="1:5" ht="12" customHeight="1" thickBot="1">
      <c r="A114" s="25" t="s">
        <v>7</v>
      </c>
      <c r="B114" s="23" t="s">
        <v>267</v>
      </c>
      <c r="C114" s="166">
        <f>+C115+C117+C119</f>
        <v>0</v>
      </c>
      <c r="D114" s="250">
        <f>+D115+D117+D119</f>
        <v>0</v>
      </c>
      <c r="E114" s="102">
        <f>+E115+E117+E119</f>
        <v>0</v>
      </c>
    </row>
    <row r="115" spans="1:5" ht="12" customHeight="1">
      <c r="A115" s="196" t="s">
        <v>69</v>
      </c>
      <c r="B115" s="6" t="s">
        <v>143</v>
      </c>
      <c r="C115" s="168"/>
      <c r="D115" s="251"/>
      <c r="E115" s="104"/>
    </row>
    <row r="116" spans="1:5" ht="12" customHeight="1">
      <c r="A116" s="196" t="s">
        <v>70</v>
      </c>
      <c r="B116" s="10" t="s">
        <v>271</v>
      </c>
      <c r="C116" s="168"/>
      <c r="D116" s="251"/>
      <c r="E116" s="104"/>
    </row>
    <row r="117" spans="1:5" ht="12" customHeight="1">
      <c r="A117" s="196" t="s">
        <v>71</v>
      </c>
      <c r="B117" s="10" t="s">
        <v>126</v>
      </c>
      <c r="C117" s="167"/>
      <c r="D117" s="252"/>
      <c r="E117" s="103"/>
    </row>
    <row r="118" spans="1:5" ht="12" customHeight="1">
      <c r="A118" s="196" t="s">
        <v>72</v>
      </c>
      <c r="B118" s="10" t="s">
        <v>272</v>
      </c>
      <c r="C118" s="167"/>
      <c r="D118" s="252"/>
      <c r="E118" s="103"/>
    </row>
    <row r="119" spans="1:5" ht="12" customHeight="1">
      <c r="A119" s="196" t="s">
        <v>73</v>
      </c>
      <c r="B119" s="111" t="s">
        <v>145</v>
      </c>
      <c r="C119" s="167"/>
      <c r="D119" s="252"/>
      <c r="E119" s="103"/>
    </row>
    <row r="120" spans="1:5" ht="12" customHeight="1">
      <c r="A120" s="196" t="s">
        <v>80</v>
      </c>
      <c r="B120" s="110" t="s">
        <v>332</v>
      </c>
      <c r="C120" s="167"/>
      <c r="D120" s="252"/>
      <c r="E120" s="103"/>
    </row>
    <row r="121" spans="1:5" ht="12" customHeight="1">
      <c r="A121" s="196" t="s">
        <v>82</v>
      </c>
      <c r="B121" s="175" t="s">
        <v>277</v>
      </c>
      <c r="C121" s="167"/>
      <c r="D121" s="252"/>
      <c r="E121" s="103"/>
    </row>
    <row r="122" spans="1:5" ht="12" customHeight="1">
      <c r="A122" s="196" t="s">
        <v>127</v>
      </c>
      <c r="B122" s="63" t="s">
        <v>260</v>
      </c>
      <c r="C122" s="167"/>
      <c r="D122" s="252"/>
      <c r="E122" s="103"/>
    </row>
    <row r="123" spans="1:5" ht="12" customHeight="1">
      <c r="A123" s="196" t="s">
        <v>128</v>
      </c>
      <c r="B123" s="63" t="s">
        <v>276</v>
      </c>
      <c r="C123" s="167"/>
      <c r="D123" s="252"/>
      <c r="E123" s="103"/>
    </row>
    <row r="124" spans="1:5" ht="12" customHeight="1">
      <c r="A124" s="196" t="s">
        <v>129</v>
      </c>
      <c r="B124" s="63" t="s">
        <v>275</v>
      </c>
      <c r="C124" s="167"/>
      <c r="D124" s="252"/>
      <c r="E124" s="103"/>
    </row>
    <row r="125" spans="1:5" ht="12" customHeight="1">
      <c r="A125" s="196" t="s">
        <v>268</v>
      </c>
      <c r="B125" s="63" t="s">
        <v>263</v>
      </c>
      <c r="C125" s="167"/>
      <c r="D125" s="252"/>
      <c r="E125" s="103"/>
    </row>
    <row r="126" spans="1:5" ht="12" customHeight="1">
      <c r="A126" s="196" t="s">
        <v>269</v>
      </c>
      <c r="B126" s="63" t="s">
        <v>274</v>
      </c>
      <c r="C126" s="167"/>
      <c r="D126" s="252"/>
      <c r="E126" s="103"/>
    </row>
    <row r="127" spans="1:5" ht="12" customHeight="1" thickBot="1">
      <c r="A127" s="205" t="s">
        <v>270</v>
      </c>
      <c r="B127" s="63" t="s">
        <v>273</v>
      </c>
      <c r="C127" s="169"/>
      <c r="D127" s="253"/>
      <c r="E127" s="105"/>
    </row>
    <row r="128" spans="1:5" ht="12" customHeight="1" thickBot="1">
      <c r="A128" s="25" t="s">
        <v>8</v>
      </c>
      <c r="B128" s="56" t="s">
        <v>350</v>
      </c>
      <c r="C128" s="166">
        <f>+C93+C114</f>
        <v>1935000</v>
      </c>
      <c r="D128" s="250">
        <f>+D93+D114</f>
        <v>1935000</v>
      </c>
      <c r="E128" s="102">
        <f>+E93+E114</f>
        <v>1180000</v>
      </c>
    </row>
    <row r="129" spans="1:5" ht="12" customHeight="1" thickBot="1">
      <c r="A129" s="25" t="s">
        <v>9</v>
      </c>
      <c r="B129" s="56" t="s">
        <v>351</v>
      </c>
      <c r="C129" s="166">
        <f>+C130+C131+C132</f>
        <v>0</v>
      </c>
      <c r="D129" s="250">
        <f>+D130+D131+D132</f>
        <v>0</v>
      </c>
      <c r="E129" s="102">
        <f>+E130+E131+E132</f>
        <v>0</v>
      </c>
    </row>
    <row r="130" spans="1:5" s="54" customFormat="1" ht="12" customHeight="1">
      <c r="A130" s="196" t="s">
        <v>177</v>
      </c>
      <c r="B130" s="7" t="s">
        <v>405</v>
      </c>
      <c r="C130" s="167"/>
      <c r="D130" s="252"/>
      <c r="E130" s="103"/>
    </row>
    <row r="131" spans="1:5" ht="12" customHeight="1">
      <c r="A131" s="196" t="s">
        <v>178</v>
      </c>
      <c r="B131" s="7" t="s">
        <v>359</v>
      </c>
      <c r="C131" s="167"/>
      <c r="D131" s="252"/>
      <c r="E131" s="103"/>
    </row>
    <row r="132" spans="1:5" ht="12" customHeight="1" thickBot="1">
      <c r="A132" s="205" t="s">
        <v>179</v>
      </c>
      <c r="B132" s="5" t="s">
        <v>404</v>
      </c>
      <c r="C132" s="167"/>
      <c r="D132" s="252"/>
      <c r="E132" s="103"/>
    </row>
    <row r="133" spans="1:5" ht="12" customHeight="1" thickBot="1">
      <c r="A133" s="25" t="s">
        <v>10</v>
      </c>
      <c r="B133" s="56" t="s">
        <v>352</v>
      </c>
      <c r="C133" s="166">
        <f>+C134+C135+C136+C137+C138+C139</f>
        <v>0</v>
      </c>
      <c r="D133" s="250">
        <f>+D134+D135+D136+D137+D138+D139</f>
        <v>0</v>
      </c>
      <c r="E133" s="102">
        <f>+E134+E135+E136+E137+E138+E139</f>
        <v>0</v>
      </c>
    </row>
    <row r="134" spans="1:5" ht="12" customHeight="1">
      <c r="A134" s="196" t="s">
        <v>56</v>
      </c>
      <c r="B134" s="7" t="s">
        <v>361</v>
      </c>
      <c r="C134" s="167"/>
      <c r="D134" s="252"/>
      <c r="E134" s="103"/>
    </row>
    <row r="135" spans="1:5" ht="12" customHeight="1">
      <c r="A135" s="196" t="s">
        <v>57</v>
      </c>
      <c r="B135" s="7" t="s">
        <v>353</v>
      </c>
      <c r="C135" s="167"/>
      <c r="D135" s="252"/>
      <c r="E135" s="103"/>
    </row>
    <row r="136" spans="1:5" ht="12" customHeight="1">
      <c r="A136" s="196" t="s">
        <v>58</v>
      </c>
      <c r="B136" s="7" t="s">
        <v>354</v>
      </c>
      <c r="C136" s="167"/>
      <c r="D136" s="252"/>
      <c r="E136" s="103"/>
    </row>
    <row r="137" spans="1:5" ht="12" customHeight="1">
      <c r="A137" s="196" t="s">
        <v>114</v>
      </c>
      <c r="B137" s="7" t="s">
        <v>403</v>
      </c>
      <c r="C137" s="167"/>
      <c r="D137" s="252"/>
      <c r="E137" s="103"/>
    </row>
    <row r="138" spans="1:5" ht="12" customHeight="1">
      <c r="A138" s="196" t="s">
        <v>115</v>
      </c>
      <c r="B138" s="7" t="s">
        <v>356</v>
      </c>
      <c r="C138" s="167"/>
      <c r="D138" s="252"/>
      <c r="E138" s="103"/>
    </row>
    <row r="139" spans="1:5" s="54" customFormat="1" ht="12" customHeight="1" thickBot="1">
      <c r="A139" s="205" t="s">
        <v>116</v>
      </c>
      <c r="B139" s="5" t="s">
        <v>357</v>
      </c>
      <c r="C139" s="167"/>
      <c r="D139" s="252"/>
      <c r="E139" s="103"/>
    </row>
    <row r="140" spans="1:11" ht="12" customHeight="1" thickBot="1">
      <c r="A140" s="25" t="s">
        <v>11</v>
      </c>
      <c r="B140" s="56" t="s">
        <v>418</v>
      </c>
      <c r="C140" s="172">
        <f>+C141+C142+C144+C145+C143</f>
        <v>0</v>
      </c>
      <c r="D140" s="254">
        <f>+D141+D142+D144+D145+D143</f>
        <v>0</v>
      </c>
      <c r="E140" s="208">
        <f>+E141+E142+E144+E145+E143</f>
        <v>0</v>
      </c>
      <c r="K140" s="95"/>
    </row>
    <row r="141" spans="1:5" ht="12.75">
      <c r="A141" s="196" t="s">
        <v>59</v>
      </c>
      <c r="B141" s="7" t="s">
        <v>278</v>
      </c>
      <c r="C141" s="167"/>
      <c r="D141" s="252"/>
      <c r="E141" s="103"/>
    </row>
    <row r="142" spans="1:5" ht="12" customHeight="1">
      <c r="A142" s="196" t="s">
        <v>60</v>
      </c>
      <c r="B142" s="7" t="s">
        <v>279</v>
      </c>
      <c r="C142" s="167"/>
      <c r="D142" s="252"/>
      <c r="E142" s="103"/>
    </row>
    <row r="143" spans="1:5" ht="12" customHeight="1">
      <c r="A143" s="196" t="s">
        <v>195</v>
      </c>
      <c r="B143" s="7" t="s">
        <v>417</v>
      </c>
      <c r="C143" s="167"/>
      <c r="D143" s="252"/>
      <c r="E143" s="103"/>
    </row>
    <row r="144" spans="1:5" s="54" customFormat="1" ht="12" customHeight="1">
      <c r="A144" s="196" t="s">
        <v>196</v>
      </c>
      <c r="B144" s="7" t="s">
        <v>366</v>
      </c>
      <c r="C144" s="167"/>
      <c r="D144" s="252"/>
      <c r="E144" s="103"/>
    </row>
    <row r="145" spans="1:5" s="54" customFormat="1" ht="12" customHeight="1" thickBot="1">
      <c r="A145" s="205" t="s">
        <v>197</v>
      </c>
      <c r="B145" s="5" t="s">
        <v>295</v>
      </c>
      <c r="C145" s="167"/>
      <c r="D145" s="252"/>
      <c r="E145" s="103"/>
    </row>
    <row r="146" spans="1:5" s="54" customFormat="1" ht="12" customHeight="1" thickBot="1">
      <c r="A146" s="25" t="s">
        <v>12</v>
      </c>
      <c r="B146" s="56" t="s">
        <v>367</v>
      </c>
      <c r="C146" s="243">
        <f>+C147+C148+C149+C150+C151</f>
        <v>0</v>
      </c>
      <c r="D146" s="255">
        <f>+D147+D148+D149+D150+D151</f>
        <v>0</v>
      </c>
      <c r="E146" s="237">
        <f>+E147+E148+E149+E150+E151</f>
        <v>0</v>
      </c>
    </row>
    <row r="147" spans="1:5" s="54" customFormat="1" ht="12" customHeight="1">
      <c r="A147" s="196" t="s">
        <v>61</v>
      </c>
      <c r="B147" s="7" t="s">
        <v>362</v>
      </c>
      <c r="C147" s="167"/>
      <c r="D147" s="252"/>
      <c r="E147" s="103"/>
    </row>
    <row r="148" spans="1:5" s="54" customFormat="1" ht="12" customHeight="1">
      <c r="A148" s="196" t="s">
        <v>62</v>
      </c>
      <c r="B148" s="7" t="s">
        <v>369</v>
      </c>
      <c r="C148" s="167"/>
      <c r="D148" s="252"/>
      <c r="E148" s="103"/>
    </row>
    <row r="149" spans="1:5" s="54" customFormat="1" ht="12" customHeight="1">
      <c r="A149" s="196" t="s">
        <v>207</v>
      </c>
      <c r="B149" s="7" t="s">
        <v>364</v>
      </c>
      <c r="C149" s="167"/>
      <c r="D149" s="252"/>
      <c r="E149" s="103"/>
    </row>
    <row r="150" spans="1:5" s="54" customFormat="1" ht="12" customHeight="1">
      <c r="A150" s="196" t="s">
        <v>208</v>
      </c>
      <c r="B150" s="7" t="s">
        <v>406</v>
      </c>
      <c r="C150" s="167"/>
      <c r="D150" s="252"/>
      <c r="E150" s="103"/>
    </row>
    <row r="151" spans="1:5" ht="12.75" customHeight="1" thickBot="1">
      <c r="A151" s="205" t="s">
        <v>368</v>
      </c>
      <c r="B151" s="5" t="s">
        <v>371</v>
      </c>
      <c r="C151" s="169"/>
      <c r="D151" s="253"/>
      <c r="E151" s="105"/>
    </row>
    <row r="152" spans="1:5" ht="12.75" customHeight="1" thickBot="1">
      <c r="A152" s="232" t="s">
        <v>13</v>
      </c>
      <c r="B152" s="56" t="s">
        <v>372</v>
      </c>
      <c r="C152" s="243"/>
      <c r="D152" s="255"/>
      <c r="E152" s="237"/>
    </row>
    <row r="153" spans="1:5" ht="12.75" customHeight="1" thickBot="1">
      <c r="A153" s="232" t="s">
        <v>14</v>
      </c>
      <c r="B153" s="56" t="s">
        <v>373</v>
      </c>
      <c r="C153" s="243"/>
      <c r="D153" s="255"/>
      <c r="E153" s="237"/>
    </row>
    <row r="154" spans="1:5" ht="12" customHeight="1" thickBot="1">
      <c r="A154" s="25" t="s">
        <v>15</v>
      </c>
      <c r="B154" s="56" t="s">
        <v>375</v>
      </c>
      <c r="C154" s="245">
        <f>+C129+C133+C140+C146+C152+C153</f>
        <v>0</v>
      </c>
      <c r="D154" s="257">
        <f>+D129+D133+D140+D146+D152+D153</f>
        <v>0</v>
      </c>
      <c r="E154" s="239">
        <f>+E129+E133+E140+E146+E152+E153</f>
        <v>0</v>
      </c>
    </row>
    <row r="155" spans="1:5" ht="15" customHeight="1" thickBot="1">
      <c r="A155" s="207" t="s">
        <v>16</v>
      </c>
      <c r="B155" s="153" t="s">
        <v>374</v>
      </c>
      <c r="C155" s="245">
        <f>+C128+C154</f>
        <v>1935000</v>
      </c>
      <c r="D155" s="257">
        <f>+D128+D154</f>
        <v>1935000</v>
      </c>
      <c r="E155" s="239">
        <f>+E128+E154</f>
        <v>1180000</v>
      </c>
    </row>
    <row r="156" spans="1:5" ht="13.5" thickBot="1">
      <c r="A156" s="156"/>
      <c r="B156" s="157"/>
      <c r="C156" s="654">
        <f>C90-C155</f>
        <v>0</v>
      </c>
      <c r="D156" s="654">
        <f>D90-D155</f>
        <v>0</v>
      </c>
      <c r="E156" s="158"/>
    </row>
    <row r="157" spans="1:5" ht="15" customHeight="1" thickBot="1">
      <c r="A157" s="299" t="s">
        <v>486</v>
      </c>
      <c r="B157" s="300"/>
      <c r="C157" s="289"/>
      <c r="D157" s="289"/>
      <c r="E157" s="288"/>
    </row>
    <row r="158" spans="1:5" ht="14.25" customHeight="1" thickBot="1">
      <c r="A158" s="301" t="s">
        <v>487</v>
      </c>
      <c r="B158" s="302"/>
      <c r="C158" s="289"/>
      <c r="D158" s="289"/>
      <c r="E158" s="288"/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I12" sqref="I12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1"/>
      <c r="B1" s="877" t="str">
        <f>CONCATENATE("13. melléklet ",Z_ALAPADATOK!A7," ",Z_ALAPADATOK!B7," ",Z_ALAPADATOK!C7," ",Z_ALAPADATOK!D7," ",Z_ALAPADATOK!E7," ",Z_ALAPADATOK!F7," ",Z_ALAPADATOK!G7," ",Z_ALAPADATOK!H7)</f>
        <v>13. melléklet a 8 / 2021. ( V.25 ) önkormányzati rendelethez</v>
      </c>
      <c r="C1" s="878"/>
      <c r="D1" s="878"/>
      <c r="E1" s="878"/>
    </row>
    <row r="2" spans="1:5" s="50" customFormat="1" ht="21" customHeight="1" thickBot="1">
      <c r="A2" s="330" t="s">
        <v>44</v>
      </c>
      <c r="B2" s="876" t="str">
        <f>CONCATENATE(Z_ALAPADATOK!A3)</f>
        <v>BEKECS KÖZSÉG Önkormányzata</v>
      </c>
      <c r="C2" s="876"/>
      <c r="D2" s="876"/>
      <c r="E2" s="331" t="s">
        <v>38</v>
      </c>
    </row>
    <row r="3" spans="1:5" s="50" customFormat="1" ht="24.75" thickBot="1">
      <c r="A3" s="330" t="s">
        <v>135</v>
      </c>
      <c r="B3" s="876" t="s">
        <v>416</v>
      </c>
      <c r="C3" s="876"/>
      <c r="D3" s="876"/>
      <c r="E3" s="332" t="s">
        <v>42</v>
      </c>
    </row>
    <row r="4" spans="1:5" s="51" customFormat="1" ht="15.75" customHeight="1" thickBot="1">
      <c r="A4" s="324"/>
      <c r="B4" s="324"/>
      <c r="C4" s="325"/>
      <c r="D4" s="326"/>
      <c r="E4" s="325" t="str">
        <f>'12'!E4</f>
        <v> Forintban!</v>
      </c>
    </row>
    <row r="5" spans="1:5" ht="24.75" thickBot="1">
      <c r="A5" s="327" t="s">
        <v>136</v>
      </c>
      <c r="B5" s="328" t="s">
        <v>485</v>
      </c>
      <c r="C5" s="328" t="s">
        <v>450</v>
      </c>
      <c r="D5" s="329" t="s">
        <v>451</v>
      </c>
      <c r="E5" s="312" t="str">
        <f>CONCATENATE('12'!E5)</f>
        <v>Teljesítés
2020. XII. 31.</v>
      </c>
    </row>
    <row r="6" spans="1:5" s="46" customFormat="1" ht="12.75" customHeight="1" thickBot="1">
      <c r="A6" s="74" t="s">
        <v>386</v>
      </c>
      <c r="B6" s="75" t="s">
        <v>387</v>
      </c>
      <c r="C6" s="75" t="s">
        <v>388</v>
      </c>
      <c r="D6" s="283" t="s">
        <v>390</v>
      </c>
      <c r="E6" s="76" t="s">
        <v>389</v>
      </c>
    </row>
    <row r="7" spans="1:5" s="46" customFormat="1" ht="15.75" customHeight="1" thickBot="1">
      <c r="A7" s="873" t="s">
        <v>39</v>
      </c>
      <c r="B7" s="874"/>
      <c r="C7" s="874"/>
      <c r="D7" s="874"/>
      <c r="E7" s="875"/>
    </row>
    <row r="8" spans="1:5" s="46" customFormat="1" ht="12" customHeight="1" thickBot="1">
      <c r="A8" s="25" t="s">
        <v>6</v>
      </c>
      <c r="B8" s="19" t="s">
        <v>162</v>
      </c>
      <c r="C8" s="166">
        <f>+C9+C10+C11+C12+C13+C14</f>
        <v>0</v>
      </c>
      <c r="D8" s="250">
        <f>+D9+D10+D11+D12+D13+D14</f>
        <v>0</v>
      </c>
      <c r="E8" s="102">
        <f>+E9+E10+E11+E12+E13+E14</f>
        <v>0</v>
      </c>
    </row>
    <row r="9" spans="1:5" s="52" customFormat="1" ht="12" customHeight="1">
      <c r="A9" s="196" t="s">
        <v>63</v>
      </c>
      <c r="B9" s="179" t="s">
        <v>163</v>
      </c>
      <c r="C9" s="168"/>
      <c r="D9" s="251"/>
      <c r="E9" s="104"/>
    </row>
    <row r="10" spans="1:5" s="53" customFormat="1" ht="12" customHeight="1">
      <c r="A10" s="197" t="s">
        <v>64</v>
      </c>
      <c r="B10" s="180" t="s">
        <v>164</v>
      </c>
      <c r="C10" s="167"/>
      <c r="D10" s="252"/>
      <c r="E10" s="103"/>
    </row>
    <row r="11" spans="1:5" s="53" customFormat="1" ht="12" customHeight="1">
      <c r="A11" s="197" t="s">
        <v>65</v>
      </c>
      <c r="B11" s="180" t="s">
        <v>165</v>
      </c>
      <c r="C11" s="167"/>
      <c r="D11" s="252"/>
      <c r="E11" s="103"/>
    </row>
    <row r="12" spans="1:5" s="53" customFormat="1" ht="12" customHeight="1">
      <c r="A12" s="197" t="s">
        <v>66</v>
      </c>
      <c r="B12" s="180" t="s">
        <v>166</v>
      </c>
      <c r="C12" s="167"/>
      <c r="D12" s="252"/>
      <c r="E12" s="103"/>
    </row>
    <row r="13" spans="1:5" s="53" customFormat="1" ht="12" customHeight="1">
      <c r="A13" s="197" t="s">
        <v>97</v>
      </c>
      <c r="B13" s="180" t="s">
        <v>394</v>
      </c>
      <c r="C13" s="167"/>
      <c r="D13" s="252"/>
      <c r="E13" s="103"/>
    </row>
    <row r="14" spans="1:5" s="52" customFormat="1" ht="12" customHeight="1" thickBot="1">
      <c r="A14" s="198" t="s">
        <v>67</v>
      </c>
      <c r="B14" s="181" t="s">
        <v>335</v>
      </c>
      <c r="C14" s="167"/>
      <c r="D14" s="252"/>
      <c r="E14" s="103"/>
    </row>
    <row r="15" spans="1:5" s="52" customFormat="1" ht="12" customHeight="1" thickBot="1">
      <c r="A15" s="25" t="s">
        <v>7</v>
      </c>
      <c r="B15" s="109" t="s">
        <v>167</v>
      </c>
      <c r="C15" s="166">
        <f>+C16+C17+C18+C19+C20</f>
        <v>0</v>
      </c>
      <c r="D15" s="250">
        <f>+D16+D17+D18+D19+D20</f>
        <v>0</v>
      </c>
      <c r="E15" s="102">
        <f>+E16+E17+E18+E19+E20</f>
        <v>0</v>
      </c>
    </row>
    <row r="16" spans="1:5" s="52" customFormat="1" ht="12" customHeight="1">
      <c r="A16" s="196" t="s">
        <v>69</v>
      </c>
      <c r="B16" s="179" t="s">
        <v>168</v>
      </c>
      <c r="C16" s="168"/>
      <c r="D16" s="251"/>
      <c r="E16" s="104"/>
    </row>
    <row r="17" spans="1:5" s="52" customFormat="1" ht="12" customHeight="1">
      <c r="A17" s="197" t="s">
        <v>70</v>
      </c>
      <c r="B17" s="180" t="s">
        <v>169</v>
      </c>
      <c r="C17" s="167"/>
      <c r="D17" s="252"/>
      <c r="E17" s="103"/>
    </row>
    <row r="18" spans="1:5" s="52" customFormat="1" ht="12" customHeight="1">
      <c r="A18" s="197" t="s">
        <v>71</v>
      </c>
      <c r="B18" s="180" t="s">
        <v>326</v>
      </c>
      <c r="C18" s="167"/>
      <c r="D18" s="252"/>
      <c r="E18" s="103"/>
    </row>
    <row r="19" spans="1:5" s="52" customFormat="1" ht="12" customHeight="1">
      <c r="A19" s="197" t="s">
        <v>72</v>
      </c>
      <c r="B19" s="180" t="s">
        <v>327</v>
      </c>
      <c r="C19" s="167"/>
      <c r="D19" s="252"/>
      <c r="E19" s="103"/>
    </row>
    <row r="20" spans="1:5" s="52" customFormat="1" ht="12" customHeight="1">
      <c r="A20" s="197" t="s">
        <v>73</v>
      </c>
      <c r="B20" s="180" t="s">
        <v>170</v>
      </c>
      <c r="C20" s="167"/>
      <c r="D20" s="252"/>
      <c r="E20" s="103"/>
    </row>
    <row r="21" spans="1:5" s="53" customFormat="1" ht="12" customHeight="1" thickBot="1">
      <c r="A21" s="198" t="s">
        <v>80</v>
      </c>
      <c r="B21" s="181" t="s">
        <v>171</v>
      </c>
      <c r="C21" s="169"/>
      <c r="D21" s="253"/>
      <c r="E21" s="105"/>
    </row>
    <row r="22" spans="1:5" s="53" customFormat="1" ht="12" customHeight="1" thickBot="1">
      <c r="A22" s="25" t="s">
        <v>8</v>
      </c>
      <c r="B22" s="19" t="s">
        <v>172</v>
      </c>
      <c r="C22" s="166">
        <f>+C23+C24+C25+C26+C27</f>
        <v>0</v>
      </c>
      <c r="D22" s="250">
        <f>+D23+D24+D25+D26+D27</f>
        <v>0</v>
      </c>
      <c r="E22" s="102">
        <f>+E23+E24+E25+E26+E27</f>
        <v>0</v>
      </c>
    </row>
    <row r="23" spans="1:5" s="53" customFormat="1" ht="12" customHeight="1">
      <c r="A23" s="196" t="s">
        <v>52</v>
      </c>
      <c r="B23" s="179" t="s">
        <v>173</v>
      </c>
      <c r="C23" s="168"/>
      <c r="D23" s="251"/>
      <c r="E23" s="104"/>
    </row>
    <row r="24" spans="1:5" s="52" customFormat="1" ht="12" customHeight="1">
      <c r="A24" s="197" t="s">
        <v>53</v>
      </c>
      <c r="B24" s="180" t="s">
        <v>174</v>
      </c>
      <c r="C24" s="167"/>
      <c r="D24" s="252"/>
      <c r="E24" s="103"/>
    </row>
    <row r="25" spans="1:5" s="53" customFormat="1" ht="12" customHeight="1">
      <c r="A25" s="197" t="s">
        <v>54</v>
      </c>
      <c r="B25" s="180" t="s">
        <v>328</v>
      </c>
      <c r="C25" s="167"/>
      <c r="D25" s="252"/>
      <c r="E25" s="103"/>
    </row>
    <row r="26" spans="1:5" s="53" customFormat="1" ht="12" customHeight="1">
      <c r="A26" s="197" t="s">
        <v>55</v>
      </c>
      <c r="B26" s="180" t="s">
        <v>329</v>
      </c>
      <c r="C26" s="167"/>
      <c r="D26" s="252"/>
      <c r="E26" s="103"/>
    </row>
    <row r="27" spans="1:5" s="53" customFormat="1" ht="12" customHeight="1">
      <c r="A27" s="197" t="s">
        <v>110</v>
      </c>
      <c r="B27" s="180" t="s">
        <v>175</v>
      </c>
      <c r="C27" s="167"/>
      <c r="D27" s="252"/>
      <c r="E27" s="103"/>
    </row>
    <row r="28" spans="1:5" s="53" customFormat="1" ht="12" customHeight="1" thickBot="1">
      <c r="A28" s="198" t="s">
        <v>111</v>
      </c>
      <c r="B28" s="181" t="s">
        <v>176</v>
      </c>
      <c r="C28" s="169"/>
      <c r="D28" s="253"/>
      <c r="E28" s="105"/>
    </row>
    <row r="29" spans="1:5" s="53" customFormat="1" ht="12" customHeight="1" thickBot="1">
      <c r="A29" s="25" t="s">
        <v>112</v>
      </c>
      <c r="B29" s="19" t="s">
        <v>477</v>
      </c>
      <c r="C29" s="172">
        <f>SUM(C30:C36)</f>
        <v>0</v>
      </c>
      <c r="D29" s="172">
        <f>SUM(D30:D36)</f>
        <v>0</v>
      </c>
      <c r="E29" s="208">
        <f>SUM(E30:E36)</f>
        <v>0</v>
      </c>
    </row>
    <row r="30" spans="1:5" s="53" customFormat="1" ht="12" customHeight="1">
      <c r="A30" s="196" t="s">
        <v>177</v>
      </c>
      <c r="B30" s="179" t="str">
        <f>'1 '!B33</f>
        <v>Építményadó</v>
      </c>
      <c r="C30" s="168"/>
      <c r="D30" s="168"/>
      <c r="E30" s="104"/>
    </row>
    <row r="31" spans="1:5" s="53" customFormat="1" ht="12" customHeight="1">
      <c r="A31" s="197" t="s">
        <v>178</v>
      </c>
      <c r="B31" s="179" t="str">
        <f>'1 '!B34</f>
        <v>Idegenforgalmi adó </v>
      </c>
      <c r="C31" s="167"/>
      <c r="D31" s="167"/>
      <c r="E31" s="103"/>
    </row>
    <row r="32" spans="1:5" s="53" customFormat="1" ht="12" customHeight="1">
      <c r="A32" s="197" t="s">
        <v>179</v>
      </c>
      <c r="B32" s="179" t="str">
        <f>'1 '!B35</f>
        <v>Iparűzési adó</v>
      </c>
      <c r="C32" s="167"/>
      <c r="D32" s="167"/>
      <c r="E32" s="103"/>
    </row>
    <row r="33" spans="1:5" s="53" customFormat="1" ht="12" customHeight="1">
      <c r="A33" s="197" t="s">
        <v>180</v>
      </c>
      <c r="B33" s="179" t="str">
        <f>'1 '!B36</f>
        <v>Talajterhelési díj</v>
      </c>
      <c r="C33" s="167"/>
      <c r="D33" s="167"/>
      <c r="E33" s="103"/>
    </row>
    <row r="34" spans="1:5" s="53" customFormat="1" ht="12" customHeight="1">
      <c r="A34" s="197" t="s">
        <v>481</v>
      </c>
      <c r="B34" s="179" t="str">
        <f>'1 '!B37</f>
        <v>Gépjárműadó</v>
      </c>
      <c r="C34" s="167"/>
      <c r="D34" s="167"/>
      <c r="E34" s="103"/>
    </row>
    <row r="35" spans="1:5" s="53" customFormat="1" ht="12" customHeight="1">
      <c r="A35" s="197" t="s">
        <v>482</v>
      </c>
      <c r="B35" s="179" t="str">
        <f>'1 '!B38</f>
        <v>Telekadó</v>
      </c>
      <c r="C35" s="167"/>
      <c r="D35" s="167"/>
      <c r="E35" s="103"/>
    </row>
    <row r="36" spans="1:5" s="53" customFormat="1" ht="12" customHeight="1" thickBot="1">
      <c r="A36" s="198" t="s">
        <v>483</v>
      </c>
      <c r="B36" s="179" t="str">
        <f>'1 '!B39</f>
        <v>Kommunális adó</v>
      </c>
      <c r="C36" s="169"/>
      <c r="D36" s="169"/>
      <c r="E36" s="105"/>
    </row>
    <row r="37" spans="1:5" s="53" customFormat="1" ht="12" customHeight="1" thickBot="1">
      <c r="A37" s="25" t="s">
        <v>10</v>
      </c>
      <c r="B37" s="19" t="s">
        <v>336</v>
      </c>
      <c r="C37" s="166">
        <f>SUM(C38:C48)</f>
        <v>0</v>
      </c>
      <c r="D37" s="250">
        <f>SUM(D38:D48)</f>
        <v>0</v>
      </c>
      <c r="E37" s="102">
        <f>SUM(E38:E48)</f>
        <v>0</v>
      </c>
    </row>
    <row r="38" spans="1:5" s="53" customFormat="1" ht="12" customHeight="1">
      <c r="A38" s="196" t="s">
        <v>56</v>
      </c>
      <c r="B38" s="179" t="s">
        <v>184</v>
      </c>
      <c r="C38" s="168"/>
      <c r="D38" s="251"/>
      <c r="E38" s="104"/>
    </row>
    <row r="39" spans="1:5" s="53" customFormat="1" ht="12" customHeight="1">
      <c r="A39" s="197" t="s">
        <v>57</v>
      </c>
      <c r="B39" s="180" t="s">
        <v>185</v>
      </c>
      <c r="C39" s="167"/>
      <c r="D39" s="252"/>
      <c r="E39" s="103"/>
    </row>
    <row r="40" spans="1:5" s="53" customFormat="1" ht="12" customHeight="1">
      <c r="A40" s="197" t="s">
        <v>58</v>
      </c>
      <c r="B40" s="180" t="s">
        <v>186</v>
      </c>
      <c r="C40" s="167"/>
      <c r="D40" s="252"/>
      <c r="E40" s="103"/>
    </row>
    <row r="41" spans="1:5" s="53" customFormat="1" ht="12" customHeight="1">
      <c r="A41" s="197" t="s">
        <v>114</v>
      </c>
      <c r="B41" s="180" t="s">
        <v>187</v>
      </c>
      <c r="C41" s="167"/>
      <c r="D41" s="252"/>
      <c r="E41" s="103"/>
    </row>
    <row r="42" spans="1:5" s="53" customFormat="1" ht="12" customHeight="1">
      <c r="A42" s="197" t="s">
        <v>115</v>
      </c>
      <c r="B42" s="180" t="s">
        <v>188</v>
      </c>
      <c r="C42" s="167"/>
      <c r="D42" s="252"/>
      <c r="E42" s="103"/>
    </row>
    <row r="43" spans="1:5" s="53" customFormat="1" ht="12" customHeight="1">
      <c r="A43" s="197" t="s">
        <v>116</v>
      </c>
      <c r="B43" s="180" t="s">
        <v>189</v>
      </c>
      <c r="C43" s="167"/>
      <c r="D43" s="252"/>
      <c r="E43" s="103"/>
    </row>
    <row r="44" spans="1:5" s="53" customFormat="1" ht="12" customHeight="1">
      <c r="A44" s="197" t="s">
        <v>117</v>
      </c>
      <c r="B44" s="180" t="s">
        <v>190</v>
      </c>
      <c r="C44" s="167"/>
      <c r="D44" s="252"/>
      <c r="E44" s="103"/>
    </row>
    <row r="45" spans="1:5" s="53" customFormat="1" ht="12" customHeight="1">
      <c r="A45" s="197" t="s">
        <v>118</v>
      </c>
      <c r="B45" s="180" t="s">
        <v>484</v>
      </c>
      <c r="C45" s="167"/>
      <c r="D45" s="252"/>
      <c r="E45" s="103"/>
    </row>
    <row r="46" spans="1:5" s="53" customFormat="1" ht="12" customHeight="1">
      <c r="A46" s="197" t="s">
        <v>182</v>
      </c>
      <c r="B46" s="180" t="s">
        <v>192</v>
      </c>
      <c r="C46" s="170"/>
      <c r="D46" s="284"/>
      <c r="E46" s="106"/>
    </row>
    <row r="47" spans="1:5" s="53" customFormat="1" ht="12" customHeight="1">
      <c r="A47" s="198" t="s">
        <v>183</v>
      </c>
      <c r="B47" s="181" t="s">
        <v>338</v>
      </c>
      <c r="C47" s="171"/>
      <c r="D47" s="285"/>
      <c r="E47" s="107"/>
    </row>
    <row r="48" spans="1:5" s="53" customFormat="1" ht="12" customHeight="1" thickBot="1">
      <c r="A48" s="198" t="s">
        <v>337</v>
      </c>
      <c r="B48" s="181" t="s">
        <v>193</v>
      </c>
      <c r="C48" s="171"/>
      <c r="D48" s="285"/>
      <c r="E48" s="107"/>
    </row>
    <row r="49" spans="1:5" s="53" customFormat="1" ht="12" customHeight="1" thickBot="1">
      <c r="A49" s="25" t="s">
        <v>11</v>
      </c>
      <c r="B49" s="19" t="s">
        <v>194</v>
      </c>
      <c r="C49" s="166">
        <f>SUM(C50:C54)</f>
        <v>0</v>
      </c>
      <c r="D49" s="250">
        <f>SUM(D50:D54)</f>
        <v>0</v>
      </c>
      <c r="E49" s="102">
        <f>SUM(E50:E54)</f>
        <v>0</v>
      </c>
    </row>
    <row r="50" spans="1:5" s="53" customFormat="1" ht="12" customHeight="1">
      <c r="A50" s="196" t="s">
        <v>59</v>
      </c>
      <c r="B50" s="179" t="s">
        <v>198</v>
      </c>
      <c r="C50" s="219"/>
      <c r="D50" s="286"/>
      <c r="E50" s="108"/>
    </row>
    <row r="51" spans="1:5" s="53" customFormat="1" ht="12" customHeight="1">
      <c r="A51" s="197" t="s">
        <v>60</v>
      </c>
      <c r="B51" s="180" t="s">
        <v>199</v>
      </c>
      <c r="C51" s="170"/>
      <c r="D51" s="284"/>
      <c r="E51" s="106"/>
    </row>
    <row r="52" spans="1:5" s="53" customFormat="1" ht="12" customHeight="1">
      <c r="A52" s="197" t="s">
        <v>195</v>
      </c>
      <c r="B52" s="180" t="s">
        <v>200</v>
      </c>
      <c r="C52" s="170"/>
      <c r="D52" s="284"/>
      <c r="E52" s="106"/>
    </row>
    <row r="53" spans="1:5" s="53" customFormat="1" ht="12" customHeight="1">
      <c r="A53" s="197" t="s">
        <v>196</v>
      </c>
      <c r="B53" s="180" t="s">
        <v>201</v>
      </c>
      <c r="C53" s="170"/>
      <c r="D53" s="284"/>
      <c r="E53" s="106"/>
    </row>
    <row r="54" spans="1:5" s="53" customFormat="1" ht="12" customHeight="1" thickBot="1">
      <c r="A54" s="198" t="s">
        <v>197</v>
      </c>
      <c r="B54" s="181" t="s">
        <v>202</v>
      </c>
      <c r="C54" s="171"/>
      <c r="D54" s="285"/>
      <c r="E54" s="107"/>
    </row>
    <row r="55" spans="1:5" s="53" customFormat="1" ht="12" customHeight="1" thickBot="1">
      <c r="A55" s="25" t="s">
        <v>119</v>
      </c>
      <c r="B55" s="19" t="s">
        <v>203</v>
      </c>
      <c r="C55" s="166">
        <f>SUM(C56:C58)</f>
        <v>0</v>
      </c>
      <c r="D55" s="250">
        <f>SUM(D56:D58)</f>
        <v>0</v>
      </c>
      <c r="E55" s="102">
        <f>SUM(E56:E58)</f>
        <v>0</v>
      </c>
    </row>
    <row r="56" spans="1:5" s="53" customFormat="1" ht="12" customHeight="1">
      <c r="A56" s="196" t="s">
        <v>61</v>
      </c>
      <c r="B56" s="179" t="s">
        <v>204</v>
      </c>
      <c r="C56" s="168"/>
      <c r="D56" s="251"/>
      <c r="E56" s="104"/>
    </row>
    <row r="57" spans="1:5" s="53" customFormat="1" ht="12" customHeight="1">
      <c r="A57" s="197" t="s">
        <v>62</v>
      </c>
      <c r="B57" s="180" t="s">
        <v>330</v>
      </c>
      <c r="C57" s="167"/>
      <c r="D57" s="252"/>
      <c r="E57" s="103"/>
    </row>
    <row r="58" spans="1:5" s="53" customFormat="1" ht="12" customHeight="1">
      <c r="A58" s="197" t="s">
        <v>207</v>
      </c>
      <c r="B58" s="180" t="s">
        <v>205</v>
      </c>
      <c r="C58" s="167"/>
      <c r="D58" s="252"/>
      <c r="E58" s="103"/>
    </row>
    <row r="59" spans="1:5" s="53" customFormat="1" ht="12" customHeight="1" thickBot="1">
      <c r="A59" s="198" t="s">
        <v>208</v>
      </c>
      <c r="B59" s="181" t="s">
        <v>206</v>
      </c>
      <c r="C59" s="169"/>
      <c r="D59" s="253"/>
      <c r="E59" s="105"/>
    </row>
    <row r="60" spans="1:5" s="53" customFormat="1" ht="12" customHeight="1" thickBot="1">
      <c r="A60" s="25" t="s">
        <v>13</v>
      </c>
      <c r="B60" s="109" t="s">
        <v>209</v>
      </c>
      <c r="C60" s="166">
        <f>SUM(C61:C63)</f>
        <v>0</v>
      </c>
      <c r="D60" s="250">
        <f>SUM(D61:D63)</f>
        <v>0</v>
      </c>
      <c r="E60" s="102">
        <f>SUM(E61:E63)</f>
        <v>0</v>
      </c>
    </row>
    <row r="61" spans="1:5" s="53" customFormat="1" ht="12" customHeight="1">
      <c r="A61" s="196" t="s">
        <v>120</v>
      </c>
      <c r="B61" s="179" t="s">
        <v>211</v>
      </c>
      <c r="C61" s="170"/>
      <c r="D61" s="284"/>
      <c r="E61" s="106"/>
    </row>
    <row r="62" spans="1:5" s="53" customFormat="1" ht="12" customHeight="1">
      <c r="A62" s="197" t="s">
        <v>121</v>
      </c>
      <c r="B62" s="180" t="s">
        <v>331</v>
      </c>
      <c r="C62" s="170"/>
      <c r="D62" s="284"/>
      <c r="E62" s="106"/>
    </row>
    <row r="63" spans="1:5" s="53" customFormat="1" ht="12" customHeight="1">
      <c r="A63" s="197" t="s">
        <v>144</v>
      </c>
      <c r="B63" s="180" t="s">
        <v>212</v>
      </c>
      <c r="C63" s="170"/>
      <c r="D63" s="284"/>
      <c r="E63" s="106"/>
    </row>
    <row r="64" spans="1:5" s="53" customFormat="1" ht="12" customHeight="1" thickBot="1">
      <c r="A64" s="198" t="s">
        <v>210</v>
      </c>
      <c r="B64" s="181" t="s">
        <v>213</v>
      </c>
      <c r="C64" s="170"/>
      <c r="D64" s="284"/>
      <c r="E64" s="106"/>
    </row>
    <row r="65" spans="1:5" s="53" customFormat="1" ht="12" customHeight="1" thickBot="1">
      <c r="A65" s="25" t="s">
        <v>14</v>
      </c>
      <c r="B65" s="19" t="s">
        <v>214</v>
      </c>
      <c r="C65" s="172">
        <f>+C8+C15+C22+C29+C37+C49+C55+C60</f>
        <v>0</v>
      </c>
      <c r="D65" s="254">
        <f>+D8+D15+D22+D29+D37+D49+D55+D60</f>
        <v>0</v>
      </c>
      <c r="E65" s="208">
        <f>+E8+E15+E22+E29+E37+E49+E55+E60</f>
        <v>0</v>
      </c>
    </row>
    <row r="66" spans="1:5" s="53" customFormat="1" ht="12" customHeight="1" thickBot="1">
      <c r="A66" s="199" t="s">
        <v>299</v>
      </c>
      <c r="B66" s="109" t="s">
        <v>216</v>
      </c>
      <c r="C66" s="166">
        <f>SUM(C67:C69)</f>
        <v>0</v>
      </c>
      <c r="D66" s="250">
        <f>SUM(D67:D69)</f>
        <v>0</v>
      </c>
      <c r="E66" s="102">
        <f>SUM(E67:E69)</f>
        <v>0</v>
      </c>
    </row>
    <row r="67" spans="1:5" s="53" customFormat="1" ht="12" customHeight="1">
      <c r="A67" s="196" t="s">
        <v>244</v>
      </c>
      <c r="B67" s="179" t="s">
        <v>217</v>
      </c>
      <c r="C67" s="170"/>
      <c r="D67" s="284"/>
      <c r="E67" s="106"/>
    </row>
    <row r="68" spans="1:5" s="53" customFormat="1" ht="12" customHeight="1">
      <c r="A68" s="197" t="s">
        <v>253</v>
      </c>
      <c r="B68" s="180" t="s">
        <v>218</v>
      </c>
      <c r="C68" s="170"/>
      <c r="D68" s="284"/>
      <c r="E68" s="106"/>
    </row>
    <row r="69" spans="1:5" s="53" customFormat="1" ht="12" customHeight="1" thickBot="1">
      <c r="A69" s="198" t="s">
        <v>254</v>
      </c>
      <c r="B69" s="182" t="s">
        <v>219</v>
      </c>
      <c r="C69" s="170"/>
      <c r="D69" s="287"/>
      <c r="E69" s="106"/>
    </row>
    <row r="70" spans="1:5" s="53" customFormat="1" ht="12" customHeight="1" thickBot="1">
      <c r="A70" s="199" t="s">
        <v>220</v>
      </c>
      <c r="B70" s="109" t="s">
        <v>221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3" customFormat="1" ht="12" customHeight="1">
      <c r="A71" s="196" t="s">
        <v>98</v>
      </c>
      <c r="B71" s="305" t="s">
        <v>222</v>
      </c>
      <c r="C71" s="170"/>
      <c r="D71" s="170"/>
      <c r="E71" s="106"/>
    </row>
    <row r="72" spans="1:5" s="53" customFormat="1" ht="12" customHeight="1">
      <c r="A72" s="197" t="s">
        <v>99</v>
      </c>
      <c r="B72" s="305" t="s">
        <v>491</v>
      </c>
      <c r="C72" s="170"/>
      <c r="D72" s="170"/>
      <c r="E72" s="106"/>
    </row>
    <row r="73" spans="1:5" s="53" customFormat="1" ht="12" customHeight="1">
      <c r="A73" s="197" t="s">
        <v>245</v>
      </c>
      <c r="B73" s="305" t="s">
        <v>223</v>
      </c>
      <c r="C73" s="170"/>
      <c r="D73" s="170"/>
      <c r="E73" s="106"/>
    </row>
    <row r="74" spans="1:5" s="53" customFormat="1" ht="12" customHeight="1" thickBot="1">
      <c r="A74" s="198" t="s">
        <v>246</v>
      </c>
      <c r="B74" s="306" t="s">
        <v>492</v>
      </c>
      <c r="C74" s="170"/>
      <c r="D74" s="170"/>
      <c r="E74" s="106"/>
    </row>
    <row r="75" spans="1:5" s="53" customFormat="1" ht="12" customHeight="1" thickBot="1">
      <c r="A75" s="199" t="s">
        <v>224</v>
      </c>
      <c r="B75" s="109" t="s">
        <v>225</v>
      </c>
      <c r="C75" s="166">
        <f>SUM(C76:C77)</f>
        <v>0</v>
      </c>
      <c r="D75" s="166">
        <f>SUM(D76:D77)</f>
        <v>0</v>
      </c>
      <c r="E75" s="102">
        <f>SUM(E76:E77)</f>
        <v>0</v>
      </c>
    </row>
    <row r="76" spans="1:5" s="53" customFormat="1" ht="12" customHeight="1">
      <c r="A76" s="196" t="s">
        <v>247</v>
      </c>
      <c r="B76" s="179" t="s">
        <v>226</v>
      </c>
      <c r="C76" s="170"/>
      <c r="D76" s="170"/>
      <c r="E76" s="106"/>
    </row>
    <row r="77" spans="1:5" s="53" customFormat="1" ht="12" customHeight="1" thickBot="1">
      <c r="A77" s="198" t="s">
        <v>248</v>
      </c>
      <c r="B77" s="181" t="s">
        <v>227</v>
      </c>
      <c r="C77" s="170"/>
      <c r="D77" s="170"/>
      <c r="E77" s="106"/>
    </row>
    <row r="78" spans="1:5" s="52" customFormat="1" ht="12" customHeight="1" thickBot="1">
      <c r="A78" s="199" t="s">
        <v>228</v>
      </c>
      <c r="B78" s="109" t="s">
        <v>229</v>
      </c>
      <c r="C78" s="166">
        <f>SUM(C79:C81)</f>
        <v>0</v>
      </c>
      <c r="D78" s="166">
        <f>SUM(D79:D81)</f>
        <v>0</v>
      </c>
      <c r="E78" s="102">
        <f>SUM(E79:E81)</f>
        <v>0</v>
      </c>
    </row>
    <row r="79" spans="1:5" s="53" customFormat="1" ht="12" customHeight="1">
      <c r="A79" s="196" t="s">
        <v>249</v>
      </c>
      <c r="B79" s="179" t="s">
        <v>230</v>
      </c>
      <c r="C79" s="170"/>
      <c r="D79" s="170"/>
      <c r="E79" s="106"/>
    </row>
    <row r="80" spans="1:5" s="53" customFormat="1" ht="12" customHeight="1">
      <c r="A80" s="197" t="s">
        <v>250</v>
      </c>
      <c r="B80" s="180" t="s">
        <v>231</v>
      </c>
      <c r="C80" s="170"/>
      <c r="D80" s="170"/>
      <c r="E80" s="106"/>
    </row>
    <row r="81" spans="1:5" s="53" customFormat="1" ht="12" customHeight="1" thickBot="1">
      <c r="A81" s="198" t="s">
        <v>251</v>
      </c>
      <c r="B81" s="181" t="s">
        <v>493</v>
      </c>
      <c r="C81" s="170"/>
      <c r="D81" s="170"/>
      <c r="E81" s="106"/>
    </row>
    <row r="82" spans="1:5" s="53" customFormat="1" ht="12" customHeight="1" thickBot="1">
      <c r="A82" s="199" t="s">
        <v>232</v>
      </c>
      <c r="B82" s="109" t="s">
        <v>252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3" customFormat="1" ht="12" customHeight="1">
      <c r="A83" s="200" t="s">
        <v>233</v>
      </c>
      <c r="B83" s="179" t="s">
        <v>234</v>
      </c>
      <c r="C83" s="170"/>
      <c r="D83" s="170"/>
      <c r="E83" s="106"/>
    </row>
    <row r="84" spans="1:5" s="53" customFormat="1" ht="12" customHeight="1">
      <c r="A84" s="201" t="s">
        <v>235</v>
      </c>
      <c r="B84" s="180" t="s">
        <v>236</v>
      </c>
      <c r="C84" s="170"/>
      <c r="D84" s="170"/>
      <c r="E84" s="106"/>
    </row>
    <row r="85" spans="1:5" s="53" customFormat="1" ht="12" customHeight="1">
      <c r="A85" s="201" t="s">
        <v>237</v>
      </c>
      <c r="B85" s="180" t="s">
        <v>238</v>
      </c>
      <c r="C85" s="170"/>
      <c r="D85" s="170"/>
      <c r="E85" s="106"/>
    </row>
    <row r="86" spans="1:5" s="52" customFormat="1" ht="12" customHeight="1" thickBot="1">
      <c r="A86" s="202" t="s">
        <v>239</v>
      </c>
      <c r="B86" s="181" t="s">
        <v>240</v>
      </c>
      <c r="C86" s="170"/>
      <c r="D86" s="170"/>
      <c r="E86" s="106"/>
    </row>
    <row r="87" spans="1:5" s="52" customFormat="1" ht="12" customHeight="1" thickBot="1">
      <c r="A87" s="199" t="s">
        <v>241</v>
      </c>
      <c r="B87" s="109" t="s">
        <v>377</v>
      </c>
      <c r="C87" s="222"/>
      <c r="D87" s="222"/>
      <c r="E87" s="223"/>
    </row>
    <row r="88" spans="1:5" s="52" customFormat="1" ht="12" customHeight="1" thickBot="1">
      <c r="A88" s="199" t="s">
        <v>395</v>
      </c>
      <c r="B88" s="109" t="s">
        <v>242</v>
      </c>
      <c r="C88" s="222"/>
      <c r="D88" s="222"/>
      <c r="E88" s="223"/>
    </row>
    <row r="89" spans="1:5" s="52" customFormat="1" ht="12" customHeight="1" thickBot="1">
      <c r="A89" s="199" t="s">
        <v>396</v>
      </c>
      <c r="B89" s="186" t="s">
        <v>380</v>
      </c>
      <c r="C89" s="172">
        <f>+C66+C70+C75+C78+C82+C88+C87</f>
        <v>0</v>
      </c>
      <c r="D89" s="172">
        <f>+D66+D70+D75+D78+D82+D88+D87</f>
        <v>0</v>
      </c>
      <c r="E89" s="208">
        <f>+E66+E70+E75+E78+E82+E88+E87</f>
        <v>0</v>
      </c>
    </row>
    <row r="90" spans="1:5" s="52" customFormat="1" ht="12" customHeight="1" thickBot="1">
      <c r="A90" s="203" t="s">
        <v>397</v>
      </c>
      <c r="B90" s="187" t="s">
        <v>398</v>
      </c>
      <c r="C90" s="172">
        <f>+C65+C89</f>
        <v>0</v>
      </c>
      <c r="D90" s="172">
        <f>+D65+D89</f>
        <v>0</v>
      </c>
      <c r="E90" s="208">
        <f>+E65+E89</f>
        <v>0</v>
      </c>
    </row>
    <row r="91" spans="1:3" s="53" customFormat="1" ht="15" customHeight="1" thickBot="1">
      <c r="A91" s="86"/>
      <c r="B91" s="87"/>
      <c r="C91" s="148"/>
    </row>
    <row r="92" spans="1:5" s="46" customFormat="1" ht="16.5" customHeight="1" thickBot="1">
      <c r="A92" s="873" t="s">
        <v>40</v>
      </c>
      <c r="B92" s="874"/>
      <c r="C92" s="874"/>
      <c r="D92" s="874"/>
      <c r="E92" s="875"/>
    </row>
    <row r="93" spans="1:5" s="54" customFormat="1" ht="12" customHeight="1" thickBot="1">
      <c r="A93" s="173" t="s">
        <v>6</v>
      </c>
      <c r="B93" s="24" t="s">
        <v>402</v>
      </c>
      <c r="C93" s="165">
        <f>+C94+C95+C96+C97+C98+C111</f>
        <v>0</v>
      </c>
      <c r="D93" s="165">
        <f>+D94+D95+D96+D97+D98+D111</f>
        <v>0</v>
      </c>
      <c r="E93" s="233">
        <f>+E94+E95+E96+E97+E98+E111</f>
        <v>0</v>
      </c>
    </row>
    <row r="94" spans="1:5" ht="12" customHeight="1">
      <c r="A94" s="204" t="s">
        <v>63</v>
      </c>
      <c r="B94" s="8" t="s">
        <v>35</v>
      </c>
      <c r="C94" s="240"/>
      <c r="D94" s="240"/>
      <c r="E94" s="234"/>
    </row>
    <row r="95" spans="1:5" ht="12" customHeight="1">
      <c r="A95" s="197" t="s">
        <v>64</v>
      </c>
      <c r="B95" s="6" t="s">
        <v>122</v>
      </c>
      <c r="C95" s="167"/>
      <c r="D95" s="167"/>
      <c r="E95" s="103"/>
    </row>
    <row r="96" spans="1:5" ht="12" customHeight="1">
      <c r="A96" s="197" t="s">
        <v>65</v>
      </c>
      <c r="B96" s="6" t="s">
        <v>90</v>
      </c>
      <c r="C96" s="169"/>
      <c r="D96" s="167"/>
      <c r="E96" s="105"/>
    </row>
    <row r="97" spans="1:5" ht="12" customHeight="1">
      <c r="A97" s="197" t="s">
        <v>66</v>
      </c>
      <c r="B97" s="9" t="s">
        <v>123</v>
      </c>
      <c r="C97" s="169"/>
      <c r="D97" s="253"/>
      <c r="E97" s="105"/>
    </row>
    <row r="98" spans="1:5" ht="12" customHeight="1">
      <c r="A98" s="197" t="s">
        <v>75</v>
      </c>
      <c r="B98" s="17" t="s">
        <v>124</v>
      </c>
      <c r="C98" s="169"/>
      <c r="D98" s="253"/>
      <c r="E98" s="105"/>
    </row>
    <row r="99" spans="1:5" ht="12" customHeight="1">
      <c r="A99" s="197" t="s">
        <v>67</v>
      </c>
      <c r="B99" s="6" t="s">
        <v>399</v>
      </c>
      <c r="C99" s="169"/>
      <c r="D99" s="253"/>
      <c r="E99" s="105"/>
    </row>
    <row r="100" spans="1:5" ht="12" customHeight="1">
      <c r="A100" s="197" t="s">
        <v>68</v>
      </c>
      <c r="B100" s="62" t="s">
        <v>343</v>
      </c>
      <c r="C100" s="169"/>
      <c r="D100" s="253"/>
      <c r="E100" s="105"/>
    </row>
    <row r="101" spans="1:5" ht="12" customHeight="1">
      <c r="A101" s="197" t="s">
        <v>76</v>
      </c>
      <c r="B101" s="62" t="s">
        <v>342</v>
      </c>
      <c r="C101" s="169"/>
      <c r="D101" s="253"/>
      <c r="E101" s="105"/>
    </row>
    <row r="102" spans="1:5" ht="12" customHeight="1">
      <c r="A102" s="197" t="s">
        <v>77</v>
      </c>
      <c r="B102" s="62" t="s">
        <v>258</v>
      </c>
      <c r="C102" s="169"/>
      <c r="D102" s="253"/>
      <c r="E102" s="105"/>
    </row>
    <row r="103" spans="1:5" ht="12" customHeight="1">
      <c r="A103" s="197" t="s">
        <v>78</v>
      </c>
      <c r="B103" s="63" t="s">
        <v>259</v>
      </c>
      <c r="C103" s="169"/>
      <c r="D103" s="253"/>
      <c r="E103" s="105"/>
    </row>
    <row r="104" spans="1:5" ht="12" customHeight="1">
      <c r="A104" s="197" t="s">
        <v>79</v>
      </c>
      <c r="B104" s="63" t="s">
        <v>260</v>
      </c>
      <c r="C104" s="169"/>
      <c r="D104" s="253"/>
      <c r="E104" s="105"/>
    </row>
    <row r="105" spans="1:5" ht="12" customHeight="1">
      <c r="A105" s="197" t="s">
        <v>81</v>
      </c>
      <c r="B105" s="62" t="s">
        <v>261</v>
      </c>
      <c r="C105" s="169"/>
      <c r="D105" s="253"/>
      <c r="E105" s="105"/>
    </row>
    <row r="106" spans="1:5" ht="12" customHeight="1">
      <c r="A106" s="197" t="s">
        <v>125</v>
      </c>
      <c r="B106" s="62" t="s">
        <v>262</v>
      </c>
      <c r="C106" s="169"/>
      <c r="D106" s="253"/>
      <c r="E106" s="105"/>
    </row>
    <row r="107" spans="1:5" ht="12" customHeight="1">
      <c r="A107" s="197" t="s">
        <v>256</v>
      </c>
      <c r="B107" s="63" t="s">
        <v>263</v>
      </c>
      <c r="C107" s="167"/>
      <c r="D107" s="253"/>
      <c r="E107" s="105"/>
    </row>
    <row r="108" spans="1:5" ht="12" customHeight="1">
      <c r="A108" s="205" t="s">
        <v>257</v>
      </c>
      <c r="B108" s="64" t="s">
        <v>264</v>
      </c>
      <c r="C108" s="169"/>
      <c r="D108" s="253"/>
      <c r="E108" s="105"/>
    </row>
    <row r="109" spans="1:5" ht="12" customHeight="1">
      <c r="A109" s="197" t="s">
        <v>340</v>
      </c>
      <c r="B109" s="64" t="s">
        <v>265</v>
      </c>
      <c r="C109" s="169"/>
      <c r="D109" s="253"/>
      <c r="E109" s="105"/>
    </row>
    <row r="110" spans="1:5" ht="12" customHeight="1">
      <c r="A110" s="197" t="s">
        <v>341</v>
      </c>
      <c r="B110" s="63" t="s">
        <v>266</v>
      </c>
      <c r="C110" s="167"/>
      <c r="D110" s="252"/>
      <c r="E110" s="103"/>
    </row>
    <row r="111" spans="1:5" ht="12" customHeight="1">
      <c r="A111" s="197" t="s">
        <v>345</v>
      </c>
      <c r="B111" s="9" t="s">
        <v>36</v>
      </c>
      <c r="C111" s="167"/>
      <c r="D111" s="252"/>
      <c r="E111" s="103"/>
    </row>
    <row r="112" spans="1:5" ht="12" customHeight="1">
      <c r="A112" s="198" t="s">
        <v>346</v>
      </c>
      <c r="B112" s="6" t="s">
        <v>400</v>
      </c>
      <c r="C112" s="169"/>
      <c r="D112" s="253"/>
      <c r="E112" s="105"/>
    </row>
    <row r="113" spans="1:5" ht="12" customHeight="1" thickBot="1">
      <c r="A113" s="206" t="s">
        <v>347</v>
      </c>
      <c r="B113" s="65" t="s">
        <v>401</v>
      </c>
      <c r="C113" s="241"/>
      <c r="D113" s="290"/>
      <c r="E113" s="235"/>
    </row>
    <row r="114" spans="1:5" ht="12" customHeight="1" thickBot="1">
      <c r="A114" s="25" t="s">
        <v>7</v>
      </c>
      <c r="B114" s="23" t="s">
        <v>267</v>
      </c>
      <c r="C114" s="166">
        <f>+C115+C117+C119</f>
        <v>0</v>
      </c>
      <c r="D114" s="250">
        <f>+D115+D117+D119</f>
        <v>0</v>
      </c>
      <c r="E114" s="102">
        <f>+E115+E117+E119</f>
        <v>0</v>
      </c>
    </row>
    <row r="115" spans="1:5" ht="12" customHeight="1">
      <c r="A115" s="196" t="s">
        <v>69</v>
      </c>
      <c r="B115" s="6" t="s">
        <v>143</v>
      </c>
      <c r="C115" s="168"/>
      <c r="D115" s="251"/>
      <c r="E115" s="104"/>
    </row>
    <row r="116" spans="1:5" ht="12" customHeight="1">
      <c r="A116" s="196" t="s">
        <v>70</v>
      </c>
      <c r="B116" s="10" t="s">
        <v>271</v>
      </c>
      <c r="C116" s="168"/>
      <c r="D116" s="251"/>
      <c r="E116" s="104"/>
    </row>
    <row r="117" spans="1:5" ht="12" customHeight="1">
      <c r="A117" s="196" t="s">
        <v>71</v>
      </c>
      <c r="B117" s="10" t="s">
        <v>126</v>
      </c>
      <c r="C117" s="167"/>
      <c r="D117" s="252"/>
      <c r="E117" s="103"/>
    </row>
    <row r="118" spans="1:5" ht="12" customHeight="1">
      <c r="A118" s="196" t="s">
        <v>72</v>
      </c>
      <c r="B118" s="10" t="s">
        <v>272</v>
      </c>
      <c r="C118" s="167"/>
      <c r="D118" s="252"/>
      <c r="E118" s="103"/>
    </row>
    <row r="119" spans="1:5" ht="12" customHeight="1">
      <c r="A119" s="196" t="s">
        <v>73</v>
      </c>
      <c r="B119" s="111" t="s">
        <v>145</v>
      </c>
      <c r="C119" s="167"/>
      <c r="D119" s="252"/>
      <c r="E119" s="103"/>
    </row>
    <row r="120" spans="1:5" ht="12" customHeight="1">
      <c r="A120" s="196" t="s">
        <v>80</v>
      </c>
      <c r="B120" s="110" t="s">
        <v>332</v>
      </c>
      <c r="C120" s="167"/>
      <c r="D120" s="252"/>
      <c r="E120" s="103"/>
    </row>
    <row r="121" spans="1:5" ht="12" customHeight="1">
      <c r="A121" s="196" t="s">
        <v>82</v>
      </c>
      <c r="B121" s="175" t="s">
        <v>277</v>
      </c>
      <c r="C121" s="167"/>
      <c r="D121" s="252"/>
      <c r="E121" s="103"/>
    </row>
    <row r="122" spans="1:5" ht="12" customHeight="1">
      <c r="A122" s="196" t="s">
        <v>127</v>
      </c>
      <c r="B122" s="63" t="s">
        <v>260</v>
      </c>
      <c r="C122" s="167"/>
      <c r="D122" s="252"/>
      <c r="E122" s="103"/>
    </row>
    <row r="123" spans="1:5" ht="12" customHeight="1">
      <c r="A123" s="196" t="s">
        <v>128</v>
      </c>
      <c r="B123" s="63" t="s">
        <v>276</v>
      </c>
      <c r="C123" s="167"/>
      <c r="D123" s="252"/>
      <c r="E123" s="103"/>
    </row>
    <row r="124" spans="1:5" ht="12" customHeight="1">
      <c r="A124" s="196" t="s">
        <v>129</v>
      </c>
      <c r="B124" s="63" t="s">
        <v>275</v>
      </c>
      <c r="C124" s="167"/>
      <c r="D124" s="252"/>
      <c r="E124" s="103"/>
    </row>
    <row r="125" spans="1:5" ht="12" customHeight="1">
      <c r="A125" s="196" t="s">
        <v>268</v>
      </c>
      <c r="B125" s="63" t="s">
        <v>263</v>
      </c>
      <c r="C125" s="167"/>
      <c r="D125" s="252"/>
      <c r="E125" s="103"/>
    </row>
    <row r="126" spans="1:5" ht="12" customHeight="1">
      <c r="A126" s="196" t="s">
        <v>269</v>
      </c>
      <c r="B126" s="63" t="s">
        <v>274</v>
      </c>
      <c r="C126" s="167"/>
      <c r="D126" s="252"/>
      <c r="E126" s="103"/>
    </row>
    <row r="127" spans="1:5" ht="12" customHeight="1" thickBot="1">
      <c r="A127" s="205" t="s">
        <v>270</v>
      </c>
      <c r="B127" s="63" t="s">
        <v>273</v>
      </c>
      <c r="C127" s="169"/>
      <c r="D127" s="253"/>
      <c r="E127" s="105"/>
    </row>
    <row r="128" spans="1:5" ht="12" customHeight="1" thickBot="1">
      <c r="A128" s="25" t="s">
        <v>8</v>
      </c>
      <c r="B128" s="56" t="s">
        <v>350</v>
      </c>
      <c r="C128" s="166">
        <f>+C93+C114</f>
        <v>0</v>
      </c>
      <c r="D128" s="250">
        <f>+D93+D114</f>
        <v>0</v>
      </c>
      <c r="E128" s="102">
        <f>+E93+E114</f>
        <v>0</v>
      </c>
    </row>
    <row r="129" spans="1:5" ht="12" customHeight="1" thickBot="1">
      <c r="A129" s="25" t="s">
        <v>9</v>
      </c>
      <c r="B129" s="56" t="s">
        <v>351</v>
      </c>
      <c r="C129" s="166">
        <f>+C130+C131+C132</f>
        <v>0</v>
      </c>
      <c r="D129" s="250">
        <f>+D130+D131+D132</f>
        <v>0</v>
      </c>
      <c r="E129" s="102">
        <f>+E130+E131+E132</f>
        <v>0</v>
      </c>
    </row>
    <row r="130" spans="1:5" s="54" customFormat="1" ht="12" customHeight="1">
      <c r="A130" s="196" t="s">
        <v>177</v>
      </c>
      <c r="B130" s="7" t="s">
        <v>405</v>
      </c>
      <c r="C130" s="167"/>
      <c r="D130" s="252"/>
      <c r="E130" s="103"/>
    </row>
    <row r="131" spans="1:5" ht="12" customHeight="1">
      <c r="A131" s="196" t="s">
        <v>178</v>
      </c>
      <c r="B131" s="7" t="s">
        <v>359</v>
      </c>
      <c r="C131" s="167"/>
      <c r="D131" s="252"/>
      <c r="E131" s="103"/>
    </row>
    <row r="132" spans="1:5" ht="12" customHeight="1" thickBot="1">
      <c r="A132" s="205" t="s">
        <v>179</v>
      </c>
      <c r="B132" s="5" t="s">
        <v>404</v>
      </c>
      <c r="C132" s="167"/>
      <c r="D132" s="252"/>
      <c r="E132" s="103"/>
    </row>
    <row r="133" spans="1:5" ht="12" customHeight="1" thickBot="1">
      <c r="A133" s="25" t="s">
        <v>10</v>
      </c>
      <c r="B133" s="56" t="s">
        <v>352</v>
      </c>
      <c r="C133" s="166">
        <f>+C134+C135+C136+C137+C138+C139</f>
        <v>0</v>
      </c>
      <c r="D133" s="250">
        <f>+D134+D135+D136+D137+D138+D139</f>
        <v>0</v>
      </c>
      <c r="E133" s="102">
        <f>+E134+E135+E136+E137+E138+E139</f>
        <v>0</v>
      </c>
    </row>
    <row r="134" spans="1:5" ht="12" customHeight="1">
      <c r="A134" s="196" t="s">
        <v>56</v>
      </c>
      <c r="B134" s="7" t="s">
        <v>361</v>
      </c>
      <c r="C134" s="167"/>
      <c r="D134" s="252"/>
      <c r="E134" s="103"/>
    </row>
    <row r="135" spans="1:5" ht="12" customHeight="1">
      <c r="A135" s="196" t="s">
        <v>57</v>
      </c>
      <c r="B135" s="7" t="s">
        <v>353</v>
      </c>
      <c r="C135" s="167"/>
      <c r="D135" s="252"/>
      <c r="E135" s="103"/>
    </row>
    <row r="136" spans="1:5" ht="12" customHeight="1">
      <c r="A136" s="196" t="s">
        <v>58</v>
      </c>
      <c r="B136" s="7" t="s">
        <v>354</v>
      </c>
      <c r="C136" s="167"/>
      <c r="D136" s="252"/>
      <c r="E136" s="103"/>
    </row>
    <row r="137" spans="1:5" ht="12" customHeight="1">
      <c r="A137" s="196" t="s">
        <v>114</v>
      </c>
      <c r="B137" s="7" t="s">
        <v>403</v>
      </c>
      <c r="C137" s="167"/>
      <c r="D137" s="252"/>
      <c r="E137" s="103"/>
    </row>
    <row r="138" spans="1:5" ht="12" customHeight="1">
      <c r="A138" s="196" t="s">
        <v>115</v>
      </c>
      <c r="B138" s="7" t="s">
        <v>356</v>
      </c>
      <c r="C138" s="167"/>
      <c r="D138" s="252"/>
      <c r="E138" s="103"/>
    </row>
    <row r="139" spans="1:5" s="54" customFormat="1" ht="12" customHeight="1" thickBot="1">
      <c r="A139" s="205" t="s">
        <v>116</v>
      </c>
      <c r="B139" s="5" t="s">
        <v>357</v>
      </c>
      <c r="C139" s="167"/>
      <c r="D139" s="252"/>
      <c r="E139" s="103"/>
    </row>
    <row r="140" spans="1:11" ht="12" customHeight="1" thickBot="1">
      <c r="A140" s="25" t="s">
        <v>11</v>
      </c>
      <c r="B140" s="56" t="s">
        <v>418</v>
      </c>
      <c r="C140" s="172">
        <f>+C141+C142+C144+C145+C143</f>
        <v>0</v>
      </c>
      <c r="D140" s="254">
        <f>+D141+D142+D144+D145+D143</f>
        <v>0</v>
      </c>
      <c r="E140" s="208">
        <f>+E141+E142+E144+E145+E143</f>
        <v>0</v>
      </c>
      <c r="K140" s="95"/>
    </row>
    <row r="141" spans="1:5" ht="12.75">
      <c r="A141" s="196" t="s">
        <v>59</v>
      </c>
      <c r="B141" s="7" t="s">
        <v>278</v>
      </c>
      <c r="C141" s="167"/>
      <c r="D141" s="252"/>
      <c r="E141" s="103"/>
    </row>
    <row r="142" spans="1:5" ht="12" customHeight="1">
      <c r="A142" s="196" t="s">
        <v>60</v>
      </c>
      <c r="B142" s="7" t="s">
        <v>279</v>
      </c>
      <c r="C142" s="167"/>
      <c r="D142" s="252"/>
      <c r="E142" s="103"/>
    </row>
    <row r="143" spans="1:5" ht="12" customHeight="1">
      <c r="A143" s="196" t="s">
        <v>195</v>
      </c>
      <c r="B143" s="7" t="s">
        <v>417</v>
      </c>
      <c r="C143" s="167"/>
      <c r="D143" s="252"/>
      <c r="E143" s="103"/>
    </row>
    <row r="144" spans="1:5" s="54" customFormat="1" ht="12" customHeight="1">
      <c r="A144" s="196" t="s">
        <v>196</v>
      </c>
      <c r="B144" s="7" t="s">
        <v>366</v>
      </c>
      <c r="C144" s="167"/>
      <c r="D144" s="252"/>
      <c r="E144" s="103"/>
    </row>
    <row r="145" spans="1:5" s="54" customFormat="1" ht="12" customHeight="1" thickBot="1">
      <c r="A145" s="205" t="s">
        <v>197</v>
      </c>
      <c r="B145" s="5" t="s">
        <v>295</v>
      </c>
      <c r="C145" s="167"/>
      <c r="D145" s="252"/>
      <c r="E145" s="103"/>
    </row>
    <row r="146" spans="1:5" s="54" customFormat="1" ht="12" customHeight="1" thickBot="1">
      <c r="A146" s="25" t="s">
        <v>12</v>
      </c>
      <c r="B146" s="56" t="s">
        <v>367</v>
      </c>
      <c r="C146" s="243">
        <f>+C147+C148+C149+C150+C151</f>
        <v>0</v>
      </c>
      <c r="D146" s="255">
        <f>+D147+D148+D149+D150+D151</f>
        <v>0</v>
      </c>
      <c r="E146" s="237">
        <f>+E147+E148+E149+E150+E151</f>
        <v>0</v>
      </c>
    </row>
    <row r="147" spans="1:5" s="54" customFormat="1" ht="12" customHeight="1">
      <c r="A147" s="196" t="s">
        <v>61</v>
      </c>
      <c r="B147" s="7" t="s">
        <v>362</v>
      </c>
      <c r="C147" s="167"/>
      <c r="D147" s="252"/>
      <c r="E147" s="103"/>
    </row>
    <row r="148" spans="1:5" s="54" customFormat="1" ht="12" customHeight="1">
      <c r="A148" s="196" t="s">
        <v>62</v>
      </c>
      <c r="B148" s="7" t="s">
        <v>369</v>
      </c>
      <c r="C148" s="167"/>
      <c r="D148" s="252"/>
      <c r="E148" s="103"/>
    </row>
    <row r="149" spans="1:5" s="54" customFormat="1" ht="12" customHeight="1">
      <c r="A149" s="196" t="s">
        <v>207</v>
      </c>
      <c r="B149" s="7" t="s">
        <v>364</v>
      </c>
      <c r="C149" s="167"/>
      <c r="D149" s="252"/>
      <c r="E149" s="103"/>
    </row>
    <row r="150" spans="1:5" s="54" customFormat="1" ht="12" customHeight="1">
      <c r="A150" s="196" t="s">
        <v>208</v>
      </c>
      <c r="B150" s="7" t="s">
        <v>406</v>
      </c>
      <c r="C150" s="167"/>
      <c r="D150" s="252"/>
      <c r="E150" s="103"/>
    </row>
    <row r="151" spans="1:5" ht="12.75" customHeight="1" thickBot="1">
      <c r="A151" s="205" t="s">
        <v>368</v>
      </c>
      <c r="B151" s="5" t="s">
        <v>371</v>
      </c>
      <c r="C151" s="169"/>
      <c r="D151" s="253"/>
      <c r="E151" s="105"/>
    </row>
    <row r="152" spans="1:5" ht="12.75" customHeight="1" thickBot="1">
      <c r="A152" s="232" t="s">
        <v>13</v>
      </c>
      <c r="B152" s="56" t="s">
        <v>372</v>
      </c>
      <c r="C152" s="243"/>
      <c r="D152" s="255"/>
      <c r="E152" s="237"/>
    </row>
    <row r="153" spans="1:5" ht="12.75" customHeight="1" thickBot="1">
      <c r="A153" s="232" t="s">
        <v>14</v>
      </c>
      <c r="B153" s="56" t="s">
        <v>373</v>
      </c>
      <c r="C153" s="243"/>
      <c r="D153" s="255"/>
      <c r="E153" s="237"/>
    </row>
    <row r="154" spans="1:5" ht="12" customHeight="1" thickBot="1">
      <c r="A154" s="25" t="s">
        <v>15</v>
      </c>
      <c r="B154" s="56" t="s">
        <v>375</v>
      </c>
      <c r="C154" s="245">
        <f>+C129+C133+C140+C146+C152+C153</f>
        <v>0</v>
      </c>
      <c r="D154" s="257">
        <f>+D129+D133+D140+D146+D152+D153</f>
        <v>0</v>
      </c>
      <c r="E154" s="239">
        <f>+E129+E133+E140+E146+E152+E153</f>
        <v>0</v>
      </c>
    </row>
    <row r="155" spans="1:5" ht="15" customHeight="1" thickBot="1">
      <c r="A155" s="207" t="s">
        <v>16</v>
      </c>
      <c r="B155" s="153" t="s">
        <v>374</v>
      </c>
      <c r="C155" s="245">
        <f>+C128+C154</f>
        <v>0</v>
      </c>
      <c r="D155" s="257">
        <f>+D128+D154</f>
        <v>0</v>
      </c>
      <c r="E155" s="239">
        <f>+E128+E154</f>
        <v>0</v>
      </c>
    </row>
    <row r="156" spans="1:5" ht="13.5" thickBot="1">
      <c r="A156" s="156"/>
      <c r="B156" s="157"/>
      <c r="C156" s="654">
        <f>C90-C155</f>
        <v>0</v>
      </c>
      <c r="D156" s="654">
        <f>D90-D155</f>
        <v>0</v>
      </c>
      <c r="E156" s="158"/>
    </row>
    <row r="157" spans="1:5" ht="15" customHeight="1" thickBot="1">
      <c r="A157" s="299" t="s">
        <v>486</v>
      </c>
      <c r="B157" s="300"/>
      <c r="C157" s="289"/>
      <c r="D157" s="289"/>
      <c r="E157" s="288"/>
    </row>
    <row r="158" spans="1:5" ht="14.25" customHeight="1" thickBot="1">
      <c r="A158" s="301" t="s">
        <v>487</v>
      </c>
      <c r="B158" s="302"/>
      <c r="C158" s="289"/>
      <c r="D158" s="289"/>
      <c r="E158" s="288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1"/>
      <c r="B1" s="877" t="str">
        <f>CONCATENATE("14. melléklet ",Z_ALAPADATOK!A7," ",Z_ALAPADATOK!B7," ",Z_ALAPADATOK!C7," ",Z_ALAPADATOK!D7," ",Z_ALAPADATOK!E7," ",Z_ALAPADATOK!F7," ",Z_ALAPADATOK!G7," ",Z_ALAPADATOK!H7)</f>
        <v>14. melléklet a 8 / 2021. ( V.25 ) önkormányzati rendelethez</v>
      </c>
      <c r="C1" s="878"/>
      <c r="D1" s="878"/>
      <c r="E1" s="878"/>
    </row>
    <row r="2" spans="1:5" s="214" customFormat="1" ht="24.75" thickBot="1">
      <c r="A2" s="322" t="s">
        <v>454</v>
      </c>
      <c r="B2" s="879" t="s">
        <v>304</v>
      </c>
      <c r="C2" s="880"/>
      <c r="D2" s="881"/>
      <c r="E2" s="323" t="s">
        <v>42</v>
      </c>
    </row>
    <row r="3" spans="1:5" s="214" customFormat="1" ht="24.75" thickBot="1">
      <c r="A3" s="322" t="s">
        <v>135</v>
      </c>
      <c r="B3" s="879" t="s">
        <v>303</v>
      </c>
      <c r="C3" s="880"/>
      <c r="D3" s="881"/>
      <c r="E3" s="323" t="s">
        <v>38</v>
      </c>
    </row>
    <row r="4" spans="1:5" s="215" customFormat="1" ht="15.75" customHeight="1" thickBot="1">
      <c r="A4" s="324"/>
      <c r="B4" s="324"/>
      <c r="C4" s="325"/>
      <c r="D4" s="326"/>
      <c r="E4" s="325" t="str">
        <f>'13'!E4</f>
        <v> Forintban!</v>
      </c>
    </row>
    <row r="5" spans="1:5" ht="24.75" thickBot="1">
      <c r="A5" s="327" t="s">
        <v>136</v>
      </c>
      <c r="B5" s="328" t="s">
        <v>485</v>
      </c>
      <c r="C5" s="328" t="s">
        <v>450</v>
      </c>
      <c r="D5" s="329" t="s">
        <v>451</v>
      </c>
      <c r="E5" s="312" t="str">
        <f>CONCATENATE('13'!E5)</f>
        <v>Teljesítés
2020. XII. 31.</v>
      </c>
    </row>
    <row r="6" spans="1:5" s="216" customFormat="1" ht="12.75" customHeight="1" thickBot="1">
      <c r="A6" s="360" t="s">
        <v>386</v>
      </c>
      <c r="B6" s="361" t="s">
        <v>387</v>
      </c>
      <c r="C6" s="361" t="s">
        <v>388</v>
      </c>
      <c r="D6" s="362" t="s">
        <v>390</v>
      </c>
      <c r="E6" s="363" t="s">
        <v>389</v>
      </c>
    </row>
    <row r="7" spans="1:5" s="216" customFormat="1" ht="15.75" customHeight="1" thickBot="1">
      <c r="A7" s="873" t="s">
        <v>39</v>
      </c>
      <c r="B7" s="874"/>
      <c r="C7" s="874"/>
      <c r="D7" s="874"/>
      <c r="E7" s="875"/>
    </row>
    <row r="8" spans="1:5" s="152" customFormat="1" ht="12" customHeight="1" thickBot="1">
      <c r="A8" s="74" t="s">
        <v>6</v>
      </c>
      <c r="B8" s="83" t="s">
        <v>407</v>
      </c>
      <c r="C8" s="119">
        <f>SUM(C9:C19)</f>
        <v>0</v>
      </c>
      <c r="D8" s="119">
        <f>SUM(D9:D19)</f>
        <v>0</v>
      </c>
      <c r="E8" s="147">
        <f>SUM(E9:E19)</f>
        <v>119491</v>
      </c>
    </row>
    <row r="9" spans="1:5" s="152" customFormat="1" ht="12" customHeight="1">
      <c r="A9" s="209" t="s">
        <v>63</v>
      </c>
      <c r="B9" s="8" t="s">
        <v>184</v>
      </c>
      <c r="C9" s="272"/>
      <c r="D9" s="272"/>
      <c r="E9" s="292"/>
    </row>
    <row r="10" spans="1:5" s="152" customFormat="1" ht="12" customHeight="1">
      <c r="A10" s="210" t="s">
        <v>64</v>
      </c>
      <c r="B10" s="6" t="s">
        <v>185</v>
      </c>
      <c r="C10" s="116"/>
      <c r="D10" s="116"/>
      <c r="E10" s="264">
        <v>105980</v>
      </c>
    </row>
    <row r="11" spans="1:5" s="152" customFormat="1" ht="12" customHeight="1">
      <c r="A11" s="210" t="s">
        <v>65</v>
      </c>
      <c r="B11" s="6" t="s">
        <v>186</v>
      </c>
      <c r="C11" s="116"/>
      <c r="D11" s="116"/>
      <c r="E11" s="264"/>
    </row>
    <row r="12" spans="1:5" s="152" customFormat="1" ht="12" customHeight="1">
      <c r="A12" s="210" t="s">
        <v>66</v>
      </c>
      <c r="B12" s="6" t="s">
        <v>187</v>
      </c>
      <c r="C12" s="116"/>
      <c r="D12" s="116"/>
      <c r="E12" s="264"/>
    </row>
    <row r="13" spans="1:5" s="152" customFormat="1" ht="12" customHeight="1">
      <c r="A13" s="210" t="s">
        <v>97</v>
      </c>
      <c r="B13" s="6" t="s">
        <v>188</v>
      </c>
      <c r="C13" s="116"/>
      <c r="D13" s="116"/>
      <c r="E13" s="264"/>
    </row>
    <row r="14" spans="1:5" s="152" customFormat="1" ht="12" customHeight="1">
      <c r="A14" s="210" t="s">
        <v>67</v>
      </c>
      <c r="B14" s="6" t="s">
        <v>305</v>
      </c>
      <c r="C14" s="116"/>
      <c r="D14" s="116"/>
      <c r="E14" s="264">
        <v>11622</v>
      </c>
    </row>
    <row r="15" spans="1:5" s="152" customFormat="1" ht="12" customHeight="1">
      <c r="A15" s="210" t="s">
        <v>68</v>
      </c>
      <c r="B15" s="5" t="s">
        <v>306</v>
      </c>
      <c r="C15" s="116"/>
      <c r="D15" s="116"/>
      <c r="E15" s="264"/>
    </row>
    <row r="16" spans="1:5" s="152" customFormat="1" ht="12" customHeight="1">
      <c r="A16" s="210" t="s">
        <v>76</v>
      </c>
      <c r="B16" s="6" t="s">
        <v>191</v>
      </c>
      <c r="C16" s="270"/>
      <c r="D16" s="270"/>
      <c r="E16" s="268">
        <v>1889</v>
      </c>
    </row>
    <row r="17" spans="1:5" s="217" customFormat="1" ht="12" customHeight="1">
      <c r="A17" s="210" t="s">
        <v>77</v>
      </c>
      <c r="B17" s="6" t="s">
        <v>192</v>
      </c>
      <c r="C17" s="116"/>
      <c r="D17" s="116"/>
      <c r="E17" s="264"/>
    </row>
    <row r="18" spans="1:5" s="217" customFormat="1" ht="12" customHeight="1">
      <c r="A18" s="210" t="s">
        <v>78</v>
      </c>
      <c r="B18" s="6" t="s">
        <v>338</v>
      </c>
      <c r="C18" s="118"/>
      <c r="D18" s="118"/>
      <c r="E18" s="265"/>
    </row>
    <row r="19" spans="1:5" s="217" customFormat="1" ht="12" customHeight="1" thickBot="1">
      <c r="A19" s="210" t="s">
        <v>79</v>
      </c>
      <c r="B19" s="5" t="s">
        <v>193</v>
      </c>
      <c r="C19" s="118"/>
      <c r="D19" s="118"/>
      <c r="E19" s="265"/>
    </row>
    <row r="20" spans="1:5" s="152" customFormat="1" ht="12" customHeight="1" thickBot="1">
      <c r="A20" s="74" t="s">
        <v>7</v>
      </c>
      <c r="B20" s="83" t="s">
        <v>307</v>
      </c>
      <c r="C20" s="119">
        <f>SUM(C21:C23)</f>
        <v>0</v>
      </c>
      <c r="D20" s="119">
        <f>SUM(D21:D23)</f>
        <v>1297363</v>
      </c>
      <c r="E20" s="147">
        <f>SUM(E21:E23)</f>
        <v>1273524</v>
      </c>
    </row>
    <row r="21" spans="1:5" s="217" customFormat="1" ht="12" customHeight="1">
      <c r="A21" s="210" t="s">
        <v>69</v>
      </c>
      <c r="B21" s="7" t="s">
        <v>168</v>
      </c>
      <c r="C21" s="116"/>
      <c r="D21" s="116"/>
      <c r="E21" s="264"/>
    </row>
    <row r="22" spans="1:5" s="217" customFormat="1" ht="12" customHeight="1">
      <c r="A22" s="210" t="s">
        <v>70</v>
      </c>
      <c r="B22" s="6" t="s">
        <v>308</v>
      </c>
      <c r="C22" s="116"/>
      <c r="D22" s="116"/>
      <c r="E22" s="264"/>
    </row>
    <row r="23" spans="1:5" s="217" customFormat="1" ht="12" customHeight="1">
      <c r="A23" s="210" t="s">
        <v>71</v>
      </c>
      <c r="B23" s="6" t="s">
        <v>309</v>
      </c>
      <c r="C23" s="116"/>
      <c r="D23" s="116">
        <v>1297363</v>
      </c>
      <c r="E23" s="264">
        <v>1273524</v>
      </c>
    </row>
    <row r="24" spans="1:5" s="217" customFormat="1" ht="12" customHeight="1" thickBot="1">
      <c r="A24" s="210" t="s">
        <v>72</v>
      </c>
      <c r="B24" s="6" t="s">
        <v>408</v>
      </c>
      <c r="C24" s="116"/>
      <c r="D24" s="116"/>
      <c r="E24" s="264"/>
    </row>
    <row r="25" spans="1:5" s="217" customFormat="1" ht="12" customHeight="1" thickBot="1">
      <c r="A25" s="78" t="s">
        <v>8</v>
      </c>
      <c r="B25" s="56" t="s">
        <v>113</v>
      </c>
      <c r="C25" s="294"/>
      <c r="D25" s="294"/>
      <c r="E25" s="146"/>
    </row>
    <row r="26" spans="1:5" s="217" customFormat="1" ht="12" customHeight="1" thickBot="1">
      <c r="A26" s="78" t="s">
        <v>9</v>
      </c>
      <c r="B26" s="56" t="s">
        <v>409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177</v>
      </c>
      <c r="B27" s="212" t="s">
        <v>173</v>
      </c>
      <c r="C27" s="271"/>
      <c r="D27" s="271"/>
      <c r="E27" s="269"/>
    </row>
    <row r="28" spans="1:5" s="217" customFormat="1" ht="12" customHeight="1">
      <c r="A28" s="211" t="s">
        <v>178</v>
      </c>
      <c r="B28" s="212" t="s">
        <v>308</v>
      </c>
      <c r="C28" s="116"/>
      <c r="D28" s="116"/>
      <c r="E28" s="264"/>
    </row>
    <row r="29" spans="1:5" s="217" customFormat="1" ht="12" customHeight="1">
      <c r="A29" s="211" t="s">
        <v>179</v>
      </c>
      <c r="B29" s="213" t="s">
        <v>311</v>
      </c>
      <c r="C29" s="116"/>
      <c r="D29" s="116"/>
      <c r="E29" s="264"/>
    </row>
    <row r="30" spans="1:5" s="217" customFormat="1" ht="12" customHeight="1" thickBot="1">
      <c r="A30" s="210" t="s">
        <v>180</v>
      </c>
      <c r="B30" s="61" t="s">
        <v>410</v>
      </c>
      <c r="C30" s="49"/>
      <c r="D30" s="49"/>
      <c r="E30" s="293"/>
    </row>
    <row r="31" spans="1:5" s="217" customFormat="1" ht="12" customHeight="1" thickBot="1">
      <c r="A31" s="78" t="s">
        <v>10</v>
      </c>
      <c r="B31" s="56" t="s">
        <v>312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56</v>
      </c>
      <c r="B32" s="212" t="s">
        <v>198</v>
      </c>
      <c r="C32" s="271"/>
      <c r="D32" s="271"/>
      <c r="E32" s="269"/>
    </row>
    <row r="33" spans="1:5" s="217" customFormat="1" ht="12" customHeight="1">
      <c r="A33" s="211" t="s">
        <v>57</v>
      </c>
      <c r="B33" s="213" t="s">
        <v>199</v>
      </c>
      <c r="C33" s="120"/>
      <c r="D33" s="120"/>
      <c r="E33" s="266"/>
    </row>
    <row r="34" spans="1:5" s="217" customFormat="1" ht="12" customHeight="1" thickBot="1">
      <c r="A34" s="210" t="s">
        <v>58</v>
      </c>
      <c r="B34" s="61" t="s">
        <v>200</v>
      </c>
      <c r="C34" s="49"/>
      <c r="D34" s="49"/>
      <c r="E34" s="293"/>
    </row>
    <row r="35" spans="1:5" s="152" customFormat="1" ht="12" customHeight="1" thickBot="1">
      <c r="A35" s="78" t="s">
        <v>11</v>
      </c>
      <c r="B35" s="56" t="s">
        <v>283</v>
      </c>
      <c r="C35" s="294"/>
      <c r="D35" s="294"/>
      <c r="E35" s="146"/>
    </row>
    <row r="36" spans="1:5" s="152" customFormat="1" ht="12" customHeight="1" thickBot="1">
      <c r="A36" s="78" t="s">
        <v>12</v>
      </c>
      <c r="B36" s="56" t="s">
        <v>313</v>
      </c>
      <c r="C36" s="294"/>
      <c r="D36" s="294"/>
      <c r="E36" s="146"/>
    </row>
    <row r="37" spans="1:5" s="152" customFormat="1" ht="12" customHeight="1" thickBot="1">
      <c r="A37" s="74" t="s">
        <v>13</v>
      </c>
      <c r="B37" s="56" t="s">
        <v>314</v>
      </c>
      <c r="C37" s="119">
        <f>+C8+C20+C25+C26+C31+C35+C36</f>
        <v>0</v>
      </c>
      <c r="D37" s="119">
        <f>+D8+D20+D25+D26+D31+D35+D36</f>
        <v>1297363</v>
      </c>
      <c r="E37" s="147">
        <f>+E8+E20+E25+E26+E31+E35+E36</f>
        <v>1393015</v>
      </c>
    </row>
    <row r="38" spans="1:5" s="152" customFormat="1" ht="12" customHeight="1" thickBot="1">
      <c r="A38" s="84" t="s">
        <v>14</v>
      </c>
      <c r="B38" s="56" t="s">
        <v>315</v>
      </c>
      <c r="C38" s="119">
        <f>+C39+C40+C41</f>
        <v>67017837</v>
      </c>
      <c r="D38" s="119">
        <f>+D39+D40+D41</f>
        <v>70050168</v>
      </c>
      <c r="E38" s="147">
        <f>+E39+E40+E41</f>
        <v>67206771</v>
      </c>
    </row>
    <row r="39" spans="1:5" s="152" customFormat="1" ht="12" customHeight="1">
      <c r="A39" s="211" t="s">
        <v>316</v>
      </c>
      <c r="B39" s="212" t="s">
        <v>150</v>
      </c>
      <c r="C39" s="271">
        <v>3586507</v>
      </c>
      <c r="D39" s="271">
        <v>5789349</v>
      </c>
      <c r="E39" s="269">
        <v>4742942</v>
      </c>
    </row>
    <row r="40" spans="1:5" s="152" customFormat="1" ht="12" customHeight="1">
      <c r="A40" s="211" t="s">
        <v>317</v>
      </c>
      <c r="B40" s="213" t="s">
        <v>0</v>
      </c>
      <c r="C40" s="120"/>
      <c r="D40" s="120"/>
      <c r="E40" s="266"/>
    </row>
    <row r="41" spans="1:5" s="217" customFormat="1" ht="12" customHeight="1" thickBot="1">
      <c r="A41" s="210" t="s">
        <v>318</v>
      </c>
      <c r="B41" s="61" t="s">
        <v>319</v>
      </c>
      <c r="C41" s="49">
        <v>63431330</v>
      </c>
      <c r="D41" s="49">
        <v>64260819</v>
      </c>
      <c r="E41" s="293">
        <v>62463829</v>
      </c>
    </row>
    <row r="42" spans="1:5" s="217" customFormat="1" ht="12" customHeight="1" thickBot="1">
      <c r="A42" s="210" t="s">
        <v>902</v>
      </c>
      <c r="B42" s="61" t="s">
        <v>319</v>
      </c>
      <c r="C42" s="777">
        <v>1762932</v>
      </c>
      <c r="D42" s="777">
        <v>1762932</v>
      </c>
      <c r="E42" s="778">
        <v>1762932</v>
      </c>
    </row>
    <row r="43" spans="1:5" s="217" customFormat="1" ht="15" customHeight="1" thickBot="1">
      <c r="A43" s="84" t="s">
        <v>15</v>
      </c>
      <c r="B43" s="85" t="s">
        <v>320</v>
      </c>
      <c r="C43" s="295">
        <f>+C37+C38+C42</f>
        <v>68780769</v>
      </c>
      <c r="D43" s="295">
        <f>+D37+D38+D42</f>
        <v>73110463</v>
      </c>
      <c r="E43" s="295">
        <f>+E37+E38+E42</f>
        <v>70362718</v>
      </c>
    </row>
    <row r="44" spans="1:3" s="217" customFormat="1" ht="15" customHeight="1">
      <c r="A44" s="86"/>
      <c r="B44" s="87"/>
      <c r="C44" s="148"/>
    </row>
    <row r="45" spans="1:3" ht="13.5" thickBot="1">
      <c r="A45" s="88"/>
      <c r="B45" s="89"/>
      <c r="C45" s="149"/>
    </row>
    <row r="46" spans="1:5" s="216" customFormat="1" ht="16.5" customHeight="1" thickBot="1">
      <c r="A46" s="873" t="s">
        <v>40</v>
      </c>
      <c r="B46" s="874"/>
      <c r="C46" s="874"/>
      <c r="D46" s="874"/>
      <c r="E46" s="875"/>
    </row>
    <row r="47" spans="1:5" s="218" customFormat="1" ht="12" customHeight="1" thickBot="1">
      <c r="A47" s="78" t="s">
        <v>6</v>
      </c>
      <c r="B47" s="56" t="s">
        <v>321</v>
      </c>
      <c r="C47" s="119">
        <f>SUM(C48:C52)</f>
        <v>68526769</v>
      </c>
      <c r="D47" s="119">
        <f>SUM(D48:D52)</f>
        <v>72856463</v>
      </c>
      <c r="E47" s="147">
        <f>SUM(E48:E52)</f>
        <v>68752560</v>
      </c>
    </row>
    <row r="48" spans="1:5" ht="12" customHeight="1">
      <c r="A48" s="210" t="s">
        <v>63</v>
      </c>
      <c r="B48" s="7" t="s">
        <v>35</v>
      </c>
      <c r="C48" s="271">
        <v>49769151</v>
      </c>
      <c r="D48" s="271">
        <v>51086585</v>
      </c>
      <c r="E48" s="269">
        <v>50669919</v>
      </c>
    </row>
    <row r="49" spans="1:5" ht="12" customHeight="1">
      <c r="A49" s="210" t="s">
        <v>64</v>
      </c>
      <c r="B49" s="6" t="s">
        <v>122</v>
      </c>
      <c r="C49" s="48">
        <v>8992218</v>
      </c>
      <c r="D49" s="48">
        <v>8578448</v>
      </c>
      <c r="E49" s="267">
        <v>8421321</v>
      </c>
    </row>
    <row r="50" spans="1:5" ht="12" customHeight="1">
      <c r="A50" s="210" t="s">
        <v>65</v>
      </c>
      <c r="B50" s="6" t="s">
        <v>90</v>
      </c>
      <c r="C50" s="48">
        <v>9765400</v>
      </c>
      <c r="D50" s="48">
        <v>10988588</v>
      </c>
      <c r="E50" s="267">
        <v>9661320</v>
      </c>
    </row>
    <row r="51" spans="1:5" ht="12" customHeight="1">
      <c r="A51" s="210" t="s">
        <v>66</v>
      </c>
      <c r="B51" s="6" t="s">
        <v>123</v>
      </c>
      <c r="C51" s="48"/>
      <c r="D51" s="48"/>
      <c r="E51" s="267"/>
    </row>
    <row r="52" spans="1:5" ht="12" customHeight="1" thickBot="1">
      <c r="A52" s="210" t="s">
        <v>97</v>
      </c>
      <c r="B52" s="6" t="s">
        <v>124</v>
      </c>
      <c r="C52" s="48"/>
      <c r="D52" s="48">
        <v>2202842</v>
      </c>
      <c r="E52" s="267"/>
    </row>
    <row r="53" spans="1:5" ht="12" customHeight="1" thickBot="1">
      <c r="A53" s="78" t="s">
        <v>7</v>
      </c>
      <c r="B53" s="56" t="s">
        <v>322</v>
      </c>
      <c r="C53" s="119">
        <f>SUM(C54:C56)</f>
        <v>254000</v>
      </c>
      <c r="D53" s="119">
        <f>SUM(D54:D56)</f>
        <v>254000</v>
      </c>
      <c r="E53" s="147">
        <f>SUM(E54:E56)</f>
        <v>148821</v>
      </c>
    </row>
    <row r="54" spans="1:5" s="218" customFormat="1" ht="12" customHeight="1">
      <c r="A54" s="210" t="s">
        <v>69</v>
      </c>
      <c r="B54" s="7" t="s">
        <v>143</v>
      </c>
      <c r="C54" s="271">
        <v>254000</v>
      </c>
      <c r="D54" s="271">
        <v>254000</v>
      </c>
      <c r="E54" s="269">
        <v>148821</v>
      </c>
    </row>
    <row r="55" spans="1:5" ht="12" customHeight="1">
      <c r="A55" s="210" t="s">
        <v>70</v>
      </c>
      <c r="B55" s="6" t="s">
        <v>126</v>
      </c>
      <c r="C55" s="48"/>
      <c r="D55" s="48"/>
      <c r="E55" s="267"/>
    </row>
    <row r="56" spans="1:5" ht="12" customHeight="1">
      <c r="A56" s="210" t="s">
        <v>71</v>
      </c>
      <c r="B56" s="6" t="s">
        <v>41</v>
      </c>
      <c r="C56" s="48"/>
      <c r="D56" s="48"/>
      <c r="E56" s="267"/>
    </row>
    <row r="57" spans="1:5" ht="12" customHeight="1" thickBot="1">
      <c r="A57" s="210" t="s">
        <v>72</v>
      </c>
      <c r="B57" s="6" t="s">
        <v>411</v>
      </c>
      <c r="C57" s="48"/>
      <c r="D57" s="48"/>
      <c r="E57" s="267"/>
    </row>
    <row r="58" spans="1:5" ht="12" customHeight="1" thickBot="1">
      <c r="A58" s="78" t="s">
        <v>8</v>
      </c>
      <c r="B58" s="56" t="s">
        <v>2</v>
      </c>
      <c r="C58" s="294"/>
      <c r="D58" s="294"/>
      <c r="E58" s="146"/>
    </row>
    <row r="59" spans="1:5" ht="15" customHeight="1" thickBot="1">
      <c r="A59" s="78" t="s">
        <v>9</v>
      </c>
      <c r="B59" s="90" t="s">
        <v>415</v>
      </c>
      <c r="C59" s="295">
        <f>+C47+C53+C58</f>
        <v>68780769</v>
      </c>
      <c r="D59" s="295">
        <f>+D47+D53+D58</f>
        <v>73110463</v>
      </c>
      <c r="E59" s="150">
        <f>+E47+E53+E58</f>
        <v>68901381</v>
      </c>
    </row>
    <row r="60" spans="3:5" ht="13.5" thickBot="1">
      <c r="C60" s="654">
        <f>C43-C59</f>
        <v>0</v>
      </c>
      <c r="D60" s="654">
        <f>D43-D59</f>
        <v>0</v>
      </c>
      <c r="E60" s="151"/>
    </row>
    <row r="61" spans="1:5" ht="15" customHeight="1" thickBot="1">
      <c r="A61" s="299" t="s">
        <v>486</v>
      </c>
      <c r="B61" s="300"/>
      <c r="C61" s="289">
        <v>12</v>
      </c>
      <c r="D61" s="289">
        <v>12</v>
      </c>
      <c r="E61" s="288">
        <v>11</v>
      </c>
    </row>
    <row r="62" spans="1:5" ht="14.25" customHeight="1" thickBot="1">
      <c r="A62" s="301" t="s">
        <v>487</v>
      </c>
      <c r="B62" s="302"/>
      <c r="C62" s="289"/>
      <c r="D62" s="289"/>
      <c r="E62" s="288"/>
    </row>
  </sheetData>
  <sheetProtection formatCells="0"/>
  <mergeCells count="5">
    <mergeCell ref="B2:D2"/>
    <mergeCell ref="B3:D3"/>
    <mergeCell ref="A7:E7"/>
    <mergeCell ref="A46:E46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1"/>
      <c r="B1" s="877" t="str">
        <f>CONCATENATE("15. melléklet ",Z_ALAPADATOK!A7," ",Z_ALAPADATOK!B7," ",Z_ALAPADATOK!C7," ",Z_ALAPADATOK!D7," ",Z_ALAPADATOK!E7," ",Z_ALAPADATOK!F7," ",Z_ALAPADATOK!G7," ",Z_ALAPADATOK!H7)</f>
        <v>15. melléklet a 8 / 2021. ( V.25 ) önkormányzati rendelethez</v>
      </c>
      <c r="C1" s="878"/>
      <c r="D1" s="878"/>
      <c r="E1" s="878"/>
    </row>
    <row r="2" spans="1:5" s="214" customFormat="1" ht="24.75" thickBot="1">
      <c r="A2" s="322" t="s">
        <v>454</v>
      </c>
      <c r="B2" s="879" t="str">
        <f>CONCATENATE('14'!B2:D2)</f>
        <v>Polgármesteri /közös/ hivatal</v>
      </c>
      <c r="C2" s="880"/>
      <c r="D2" s="881"/>
      <c r="E2" s="323" t="s">
        <v>42</v>
      </c>
    </row>
    <row r="3" spans="1:5" s="214" customFormat="1" ht="24.75" thickBot="1">
      <c r="A3" s="322" t="s">
        <v>135</v>
      </c>
      <c r="B3" s="879" t="s">
        <v>323</v>
      </c>
      <c r="C3" s="880"/>
      <c r="D3" s="881"/>
      <c r="E3" s="323" t="s">
        <v>42</v>
      </c>
    </row>
    <row r="4" spans="1:5" s="215" customFormat="1" ht="15.75" customHeight="1" thickBot="1">
      <c r="A4" s="324"/>
      <c r="B4" s="324"/>
      <c r="C4" s="325"/>
      <c r="D4" s="326"/>
      <c r="E4" s="325" t="str">
        <f>'14'!E4</f>
        <v> Forintban!</v>
      </c>
    </row>
    <row r="5" spans="1:5" ht="24.75" thickBot="1">
      <c r="A5" s="327" t="s">
        <v>136</v>
      </c>
      <c r="B5" s="328" t="s">
        <v>485</v>
      </c>
      <c r="C5" s="328" t="s">
        <v>450</v>
      </c>
      <c r="D5" s="329" t="s">
        <v>451</v>
      </c>
      <c r="E5" s="312" t="str">
        <f>CONCATENATE('14'!E5)</f>
        <v>Teljesítés
2020. XII. 31.</v>
      </c>
    </row>
    <row r="6" spans="1:5" s="216" customFormat="1" ht="12.75" customHeight="1" thickBot="1">
      <c r="A6" s="360" t="s">
        <v>386</v>
      </c>
      <c r="B6" s="361" t="s">
        <v>387</v>
      </c>
      <c r="C6" s="361" t="s">
        <v>388</v>
      </c>
      <c r="D6" s="362" t="s">
        <v>390</v>
      </c>
      <c r="E6" s="363" t="s">
        <v>389</v>
      </c>
    </row>
    <row r="7" spans="1:5" s="216" customFormat="1" ht="15.75" customHeight="1" thickBot="1">
      <c r="A7" s="873" t="s">
        <v>39</v>
      </c>
      <c r="B7" s="874"/>
      <c r="C7" s="874"/>
      <c r="D7" s="874"/>
      <c r="E7" s="875"/>
    </row>
    <row r="8" spans="1:5" s="152" customFormat="1" ht="12" customHeight="1" thickBot="1">
      <c r="A8" s="74" t="s">
        <v>6</v>
      </c>
      <c r="B8" s="83" t="s">
        <v>407</v>
      </c>
      <c r="C8" s="119">
        <f>SUM(C9:C19)</f>
        <v>0</v>
      </c>
      <c r="D8" s="119">
        <f>SUM(D9:D19)</f>
        <v>0</v>
      </c>
      <c r="E8" s="147">
        <f>SUM(E9:E19)</f>
        <v>0</v>
      </c>
    </row>
    <row r="9" spans="1:5" s="152" customFormat="1" ht="12" customHeight="1">
      <c r="A9" s="209" t="s">
        <v>63</v>
      </c>
      <c r="B9" s="8" t="s">
        <v>184</v>
      </c>
      <c r="C9" s="272"/>
      <c r="D9" s="272"/>
      <c r="E9" s="292"/>
    </row>
    <row r="10" spans="1:5" s="152" customFormat="1" ht="12" customHeight="1">
      <c r="A10" s="210" t="s">
        <v>64</v>
      </c>
      <c r="B10" s="6" t="s">
        <v>185</v>
      </c>
      <c r="C10" s="116"/>
      <c r="D10" s="116"/>
      <c r="E10" s="264"/>
    </row>
    <row r="11" spans="1:5" s="152" customFormat="1" ht="12" customHeight="1">
      <c r="A11" s="210" t="s">
        <v>65</v>
      </c>
      <c r="B11" s="6" t="s">
        <v>186</v>
      </c>
      <c r="C11" s="116"/>
      <c r="D11" s="116"/>
      <c r="E11" s="264"/>
    </row>
    <row r="12" spans="1:5" s="152" customFormat="1" ht="12" customHeight="1">
      <c r="A12" s="210" t="s">
        <v>66</v>
      </c>
      <c r="B12" s="6" t="s">
        <v>187</v>
      </c>
      <c r="C12" s="116"/>
      <c r="D12" s="116"/>
      <c r="E12" s="264"/>
    </row>
    <row r="13" spans="1:5" s="152" customFormat="1" ht="12" customHeight="1">
      <c r="A13" s="210" t="s">
        <v>97</v>
      </c>
      <c r="B13" s="6" t="s">
        <v>188</v>
      </c>
      <c r="C13" s="116"/>
      <c r="D13" s="116"/>
      <c r="E13" s="264"/>
    </row>
    <row r="14" spans="1:5" s="152" customFormat="1" ht="12" customHeight="1">
      <c r="A14" s="210" t="s">
        <v>67</v>
      </c>
      <c r="B14" s="6" t="s">
        <v>305</v>
      </c>
      <c r="C14" s="116"/>
      <c r="D14" s="116"/>
      <c r="E14" s="264"/>
    </row>
    <row r="15" spans="1:5" s="152" customFormat="1" ht="12" customHeight="1">
      <c r="A15" s="210" t="s">
        <v>68</v>
      </c>
      <c r="B15" s="5" t="s">
        <v>306</v>
      </c>
      <c r="C15" s="116"/>
      <c r="D15" s="116"/>
      <c r="E15" s="264"/>
    </row>
    <row r="16" spans="1:5" s="152" customFormat="1" ht="12" customHeight="1">
      <c r="A16" s="210" t="s">
        <v>76</v>
      </c>
      <c r="B16" s="6" t="s">
        <v>191</v>
      </c>
      <c r="C16" s="270"/>
      <c r="D16" s="270"/>
      <c r="E16" s="268"/>
    </row>
    <row r="17" spans="1:5" s="217" customFormat="1" ht="12" customHeight="1">
      <c r="A17" s="210" t="s">
        <v>77</v>
      </c>
      <c r="B17" s="6" t="s">
        <v>192</v>
      </c>
      <c r="C17" s="116"/>
      <c r="D17" s="116"/>
      <c r="E17" s="264"/>
    </row>
    <row r="18" spans="1:5" s="217" customFormat="1" ht="12" customHeight="1">
      <c r="A18" s="210" t="s">
        <v>78</v>
      </c>
      <c r="B18" s="6" t="s">
        <v>338</v>
      </c>
      <c r="C18" s="118"/>
      <c r="D18" s="118"/>
      <c r="E18" s="265"/>
    </row>
    <row r="19" spans="1:5" s="217" customFormat="1" ht="12" customHeight="1" thickBot="1">
      <c r="A19" s="210" t="s">
        <v>79</v>
      </c>
      <c r="B19" s="5" t="s">
        <v>193</v>
      </c>
      <c r="C19" s="118"/>
      <c r="D19" s="118"/>
      <c r="E19" s="265"/>
    </row>
    <row r="20" spans="1:5" s="152" customFormat="1" ht="12" customHeight="1" thickBot="1">
      <c r="A20" s="74" t="s">
        <v>7</v>
      </c>
      <c r="B20" s="83" t="s">
        <v>307</v>
      </c>
      <c r="C20" s="119">
        <f>SUM(C21:C23)</f>
        <v>0</v>
      </c>
      <c r="D20" s="119">
        <f>SUM(D21:D23)</f>
        <v>0</v>
      </c>
      <c r="E20" s="147">
        <f>SUM(E21:E23)</f>
        <v>0</v>
      </c>
    </row>
    <row r="21" spans="1:5" s="217" customFormat="1" ht="12" customHeight="1">
      <c r="A21" s="210" t="s">
        <v>69</v>
      </c>
      <c r="B21" s="7" t="s">
        <v>168</v>
      </c>
      <c r="C21" s="116"/>
      <c r="D21" s="116"/>
      <c r="E21" s="264"/>
    </row>
    <row r="22" spans="1:5" s="217" customFormat="1" ht="12" customHeight="1">
      <c r="A22" s="210" t="s">
        <v>70</v>
      </c>
      <c r="B22" s="6" t="s">
        <v>308</v>
      </c>
      <c r="C22" s="116"/>
      <c r="D22" s="116"/>
      <c r="E22" s="264"/>
    </row>
    <row r="23" spans="1:5" s="217" customFormat="1" ht="12" customHeight="1">
      <c r="A23" s="210" t="s">
        <v>71</v>
      </c>
      <c r="B23" s="6" t="s">
        <v>309</v>
      </c>
      <c r="C23" s="116"/>
      <c r="D23" s="116"/>
      <c r="E23" s="264"/>
    </row>
    <row r="24" spans="1:5" s="217" customFormat="1" ht="12" customHeight="1" thickBot="1">
      <c r="A24" s="210" t="s">
        <v>72</v>
      </c>
      <c r="B24" s="6" t="s">
        <v>408</v>
      </c>
      <c r="C24" s="116"/>
      <c r="D24" s="116"/>
      <c r="E24" s="264"/>
    </row>
    <row r="25" spans="1:5" s="217" customFormat="1" ht="12" customHeight="1" thickBot="1">
      <c r="A25" s="78" t="s">
        <v>8</v>
      </c>
      <c r="B25" s="56" t="s">
        <v>113</v>
      </c>
      <c r="C25" s="294"/>
      <c r="D25" s="294"/>
      <c r="E25" s="146"/>
    </row>
    <row r="26" spans="1:5" s="217" customFormat="1" ht="12" customHeight="1" thickBot="1">
      <c r="A26" s="78" t="s">
        <v>9</v>
      </c>
      <c r="B26" s="56" t="s">
        <v>409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177</v>
      </c>
      <c r="B27" s="212" t="s">
        <v>173</v>
      </c>
      <c r="C27" s="271"/>
      <c r="D27" s="271"/>
      <c r="E27" s="269"/>
    </row>
    <row r="28" spans="1:5" s="217" customFormat="1" ht="12" customHeight="1">
      <c r="A28" s="211" t="s">
        <v>178</v>
      </c>
      <c r="B28" s="212" t="s">
        <v>308</v>
      </c>
      <c r="C28" s="116"/>
      <c r="D28" s="116"/>
      <c r="E28" s="264"/>
    </row>
    <row r="29" spans="1:5" s="217" customFormat="1" ht="12" customHeight="1">
      <c r="A29" s="211" t="s">
        <v>179</v>
      </c>
      <c r="B29" s="213" t="s">
        <v>311</v>
      </c>
      <c r="C29" s="116"/>
      <c r="D29" s="116"/>
      <c r="E29" s="264"/>
    </row>
    <row r="30" spans="1:5" s="217" customFormat="1" ht="12" customHeight="1" thickBot="1">
      <c r="A30" s="210" t="s">
        <v>180</v>
      </c>
      <c r="B30" s="61" t="s">
        <v>410</v>
      </c>
      <c r="C30" s="49"/>
      <c r="D30" s="49"/>
      <c r="E30" s="293"/>
    </row>
    <row r="31" spans="1:5" s="217" customFormat="1" ht="12" customHeight="1" thickBot="1">
      <c r="A31" s="78" t="s">
        <v>10</v>
      </c>
      <c r="B31" s="56" t="s">
        <v>312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56</v>
      </c>
      <c r="B32" s="212" t="s">
        <v>198</v>
      </c>
      <c r="C32" s="271"/>
      <c r="D32" s="271"/>
      <c r="E32" s="269"/>
    </row>
    <row r="33" spans="1:5" s="217" customFormat="1" ht="12" customHeight="1">
      <c r="A33" s="211" t="s">
        <v>57</v>
      </c>
      <c r="B33" s="213" t="s">
        <v>199</v>
      </c>
      <c r="C33" s="120"/>
      <c r="D33" s="120"/>
      <c r="E33" s="266"/>
    </row>
    <row r="34" spans="1:5" s="217" customFormat="1" ht="12" customHeight="1" thickBot="1">
      <c r="A34" s="210" t="s">
        <v>58</v>
      </c>
      <c r="B34" s="61" t="s">
        <v>200</v>
      </c>
      <c r="C34" s="49"/>
      <c r="D34" s="49"/>
      <c r="E34" s="293"/>
    </row>
    <row r="35" spans="1:5" s="152" customFormat="1" ht="12" customHeight="1" thickBot="1">
      <c r="A35" s="78" t="s">
        <v>11</v>
      </c>
      <c r="B35" s="56" t="s">
        <v>283</v>
      </c>
      <c r="C35" s="294"/>
      <c r="D35" s="294"/>
      <c r="E35" s="146"/>
    </row>
    <row r="36" spans="1:5" s="152" customFormat="1" ht="12" customHeight="1" thickBot="1">
      <c r="A36" s="78" t="s">
        <v>12</v>
      </c>
      <c r="B36" s="56" t="s">
        <v>313</v>
      </c>
      <c r="C36" s="294"/>
      <c r="D36" s="294"/>
      <c r="E36" s="146"/>
    </row>
    <row r="37" spans="1:5" s="152" customFormat="1" ht="12" customHeight="1" thickBot="1">
      <c r="A37" s="74" t="s">
        <v>13</v>
      </c>
      <c r="B37" s="56" t="s">
        <v>314</v>
      </c>
      <c r="C37" s="119">
        <f>+C8+C20+C25+C26+C31+C35+C36</f>
        <v>0</v>
      </c>
      <c r="D37" s="119">
        <f>+D8+D20+D25+D26+D31+D35+D36</f>
        <v>0</v>
      </c>
      <c r="E37" s="147">
        <f>+E8+E20+E25+E26+E31+E35+E36</f>
        <v>0</v>
      </c>
    </row>
    <row r="38" spans="1:5" s="152" customFormat="1" ht="12" customHeight="1" thickBot="1">
      <c r="A38" s="84" t="s">
        <v>14</v>
      </c>
      <c r="B38" s="56" t="s">
        <v>315</v>
      </c>
      <c r="C38" s="119">
        <f>+C39+C40+C41</f>
        <v>0</v>
      </c>
      <c r="D38" s="119">
        <f>+D39+D40+D41</f>
        <v>0</v>
      </c>
      <c r="E38" s="147">
        <f>+E39+E40+E41</f>
        <v>0</v>
      </c>
    </row>
    <row r="39" spans="1:5" s="152" customFormat="1" ht="12" customHeight="1">
      <c r="A39" s="211" t="s">
        <v>316</v>
      </c>
      <c r="B39" s="212" t="s">
        <v>150</v>
      </c>
      <c r="C39" s="271"/>
      <c r="D39" s="271"/>
      <c r="E39" s="269"/>
    </row>
    <row r="40" spans="1:5" s="152" customFormat="1" ht="12" customHeight="1">
      <c r="A40" s="211" t="s">
        <v>317</v>
      </c>
      <c r="B40" s="213" t="s">
        <v>0</v>
      </c>
      <c r="C40" s="120"/>
      <c r="D40" s="120"/>
      <c r="E40" s="266"/>
    </row>
    <row r="41" spans="1:5" s="217" customFormat="1" ht="12" customHeight="1" thickBot="1">
      <c r="A41" s="210" t="s">
        <v>318</v>
      </c>
      <c r="B41" s="61" t="s">
        <v>319</v>
      </c>
      <c r="C41" s="49"/>
      <c r="D41" s="49"/>
      <c r="E41" s="293"/>
    </row>
    <row r="42" spans="1:5" s="217" customFormat="1" ht="15" customHeight="1" thickBot="1">
      <c r="A42" s="84" t="s">
        <v>15</v>
      </c>
      <c r="B42" s="85" t="s">
        <v>320</v>
      </c>
      <c r="C42" s="295">
        <f>+C37+C38</f>
        <v>0</v>
      </c>
      <c r="D42" s="295">
        <f>+D37+D38</f>
        <v>0</v>
      </c>
      <c r="E42" s="150">
        <f>+E37+E38</f>
        <v>0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73" t="s">
        <v>40</v>
      </c>
      <c r="B45" s="874"/>
      <c r="C45" s="874"/>
      <c r="D45" s="874"/>
      <c r="E45" s="875"/>
    </row>
    <row r="46" spans="1:5" s="218" customFormat="1" ht="12" customHeight="1" thickBot="1">
      <c r="A46" s="78" t="s">
        <v>6</v>
      </c>
      <c r="B46" s="56" t="s">
        <v>321</v>
      </c>
      <c r="C46" s="119">
        <f>SUM(C47:C51)</f>
        <v>0</v>
      </c>
      <c r="D46" s="119">
        <f>SUM(D47:D51)</f>
        <v>0</v>
      </c>
      <c r="E46" s="147">
        <f>SUM(E47:E51)</f>
        <v>0</v>
      </c>
    </row>
    <row r="47" spans="1:5" ht="12" customHeight="1">
      <c r="A47" s="210" t="s">
        <v>63</v>
      </c>
      <c r="B47" s="7" t="s">
        <v>35</v>
      </c>
      <c r="C47" s="271"/>
      <c r="D47" s="271"/>
      <c r="E47" s="269"/>
    </row>
    <row r="48" spans="1:5" ht="12" customHeight="1">
      <c r="A48" s="210" t="s">
        <v>64</v>
      </c>
      <c r="B48" s="6" t="s">
        <v>122</v>
      </c>
      <c r="C48" s="48"/>
      <c r="D48" s="48"/>
      <c r="E48" s="267"/>
    </row>
    <row r="49" spans="1:5" ht="12" customHeight="1">
      <c r="A49" s="210" t="s">
        <v>65</v>
      </c>
      <c r="B49" s="6" t="s">
        <v>90</v>
      </c>
      <c r="C49" s="48"/>
      <c r="D49" s="48"/>
      <c r="E49" s="267"/>
    </row>
    <row r="50" spans="1:5" ht="12" customHeight="1">
      <c r="A50" s="210" t="s">
        <v>66</v>
      </c>
      <c r="B50" s="6" t="s">
        <v>123</v>
      </c>
      <c r="C50" s="48"/>
      <c r="D50" s="48"/>
      <c r="E50" s="267"/>
    </row>
    <row r="51" spans="1:5" ht="12" customHeight="1" thickBot="1">
      <c r="A51" s="210" t="s">
        <v>97</v>
      </c>
      <c r="B51" s="6" t="s">
        <v>124</v>
      </c>
      <c r="C51" s="48"/>
      <c r="D51" s="48"/>
      <c r="E51" s="267"/>
    </row>
    <row r="52" spans="1:5" ht="12" customHeight="1" thickBot="1">
      <c r="A52" s="78" t="s">
        <v>7</v>
      </c>
      <c r="B52" s="56" t="s">
        <v>322</v>
      </c>
      <c r="C52" s="119">
        <f>SUM(C53:C55)</f>
        <v>0</v>
      </c>
      <c r="D52" s="119">
        <f>SUM(D53:D55)</f>
        <v>0</v>
      </c>
      <c r="E52" s="147">
        <f>SUM(E53:E55)</f>
        <v>0</v>
      </c>
    </row>
    <row r="53" spans="1:5" s="218" customFormat="1" ht="12" customHeight="1">
      <c r="A53" s="210" t="s">
        <v>69</v>
      </c>
      <c r="B53" s="7" t="s">
        <v>143</v>
      </c>
      <c r="C53" s="271"/>
      <c r="D53" s="271"/>
      <c r="E53" s="269"/>
    </row>
    <row r="54" spans="1:5" ht="12" customHeight="1">
      <c r="A54" s="210" t="s">
        <v>70</v>
      </c>
      <c r="B54" s="6" t="s">
        <v>126</v>
      </c>
      <c r="C54" s="48"/>
      <c r="D54" s="48"/>
      <c r="E54" s="267"/>
    </row>
    <row r="55" spans="1:5" ht="12" customHeight="1">
      <c r="A55" s="210" t="s">
        <v>71</v>
      </c>
      <c r="B55" s="6" t="s">
        <v>41</v>
      </c>
      <c r="C55" s="48"/>
      <c r="D55" s="48"/>
      <c r="E55" s="267"/>
    </row>
    <row r="56" spans="1:5" ht="12" customHeight="1" thickBot="1">
      <c r="A56" s="210" t="s">
        <v>72</v>
      </c>
      <c r="B56" s="6" t="s">
        <v>411</v>
      </c>
      <c r="C56" s="48"/>
      <c r="D56" s="48"/>
      <c r="E56" s="267"/>
    </row>
    <row r="57" spans="1:5" ht="12" customHeight="1" thickBot="1">
      <c r="A57" s="78" t="s">
        <v>8</v>
      </c>
      <c r="B57" s="56" t="s">
        <v>2</v>
      </c>
      <c r="C57" s="294"/>
      <c r="D57" s="294"/>
      <c r="E57" s="146"/>
    </row>
    <row r="58" spans="1:5" ht="15" customHeight="1" thickBot="1">
      <c r="A58" s="78" t="s">
        <v>9</v>
      </c>
      <c r="B58" s="90" t="s">
        <v>415</v>
      </c>
      <c r="C58" s="295">
        <f>+C46+C52+C57</f>
        <v>0</v>
      </c>
      <c r="D58" s="295">
        <f>+D46+D52+D57</f>
        <v>0</v>
      </c>
      <c r="E58" s="150">
        <f>+E46+E52+E57</f>
        <v>0</v>
      </c>
    </row>
    <row r="59" spans="3:5" ht="13.5" thickBot="1">
      <c r="C59" s="654">
        <f>C42-C58</f>
        <v>0</v>
      </c>
      <c r="D59" s="654">
        <f>D42-D58</f>
        <v>0</v>
      </c>
      <c r="E59" s="151"/>
    </row>
    <row r="60" spans="1:5" ht="15" customHeight="1" thickBot="1">
      <c r="A60" s="299" t="s">
        <v>486</v>
      </c>
      <c r="B60" s="300"/>
      <c r="C60" s="289"/>
      <c r="D60" s="289"/>
      <c r="E60" s="288"/>
    </row>
    <row r="61" spans="1:5" ht="14.25" customHeight="1" thickBot="1">
      <c r="A61" s="301" t="s">
        <v>487</v>
      </c>
      <c r="B61" s="302"/>
      <c r="C61" s="289"/>
      <c r="D61" s="289"/>
      <c r="E61" s="288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120" zoomScaleNormal="120" zoomScalePageLayoutView="0" workbookViewId="0" topLeftCell="A1">
      <selection activeCell="F8" sqref="F8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  <col min="8" max="8" width="10.50390625" style="0" customWidth="1"/>
    <col min="10" max="13" width="0" style="0" hidden="1" customWidth="1"/>
  </cols>
  <sheetData>
    <row r="1" spans="1:9" ht="12.75">
      <c r="A1" s="639"/>
      <c r="B1" s="746">
        <f>Z_TARTALOMJEGYZÉK!A1</f>
        <v>2020</v>
      </c>
      <c r="C1" s="746" t="s">
        <v>837</v>
      </c>
      <c r="D1" s="746"/>
      <c r="E1" s="639"/>
      <c r="F1" s="639"/>
      <c r="G1" s="639"/>
      <c r="H1" s="639"/>
      <c r="I1" s="639"/>
    </row>
    <row r="2" spans="1:9" ht="15.75">
      <c r="A2" s="802" t="s">
        <v>494</v>
      </c>
      <c r="B2" s="802"/>
      <c r="C2" s="802"/>
      <c r="D2" s="802"/>
      <c r="E2" s="802"/>
      <c r="F2" s="802"/>
      <c r="G2" s="639"/>
      <c r="H2" s="639"/>
      <c r="I2" s="639"/>
    </row>
    <row r="3" spans="1:9" ht="15.75">
      <c r="A3" s="805" t="s">
        <v>870</v>
      </c>
      <c r="B3" s="805"/>
      <c r="C3" s="805"/>
      <c r="D3" s="805"/>
      <c r="E3" s="805"/>
      <c r="F3" s="805"/>
      <c r="G3" s="805"/>
      <c r="H3" s="639"/>
      <c r="I3" s="639"/>
    </row>
    <row r="4" spans="1:9" ht="12.75">
      <c r="A4" s="639"/>
      <c r="B4" s="639"/>
      <c r="C4" s="639"/>
      <c r="D4" s="639"/>
      <c r="E4" s="639"/>
      <c r="F4" s="639"/>
      <c r="G4" s="639"/>
      <c r="H4" s="639"/>
      <c r="I4" s="639"/>
    </row>
    <row r="5" spans="1:9" ht="12.75">
      <c r="A5" s="639"/>
      <c r="B5" s="639"/>
      <c r="C5" s="639"/>
      <c r="D5" s="639"/>
      <c r="E5" s="639"/>
      <c r="F5" s="639"/>
      <c r="G5" s="639"/>
      <c r="H5" s="639"/>
      <c r="I5" s="639"/>
    </row>
    <row r="6" spans="1:9" ht="14.25">
      <c r="A6" s="747" t="s">
        <v>820</v>
      </c>
      <c r="B6" s="639"/>
      <c r="C6" s="639"/>
      <c r="D6" s="639"/>
      <c r="E6" s="639"/>
      <c r="F6" s="639"/>
      <c r="G6" s="639"/>
      <c r="H6" s="639"/>
      <c r="I6" s="639"/>
    </row>
    <row r="7" spans="1:9" ht="12.75">
      <c r="A7" s="748" t="s">
        <v>814</v>
      </c>
      <c r="B7" s="689">
        <v>8</v>
      </c>
      <c r="C7" s="639" t="s">
        <v>815</v>
      </c>
      <c r="D7" s="639" t="str">
        <f>CONCATENATE(Z_TARTALOMJEGYZÉK!A1+1,".")</f>
        <v>2021.</v>
      </c>
      <c r="E7" s="639" t="s">
        <v>816</v>
      </c>
      <c r="F7" s="689" t="s">
        <v>974</v>
      </c>
      <c r="G7" s="639" t="s">
        <v>817</v>
      </c>
      <c r="H7" s="639" t="s">
        <v>818</v>
      </c>
      <c r="I7" s="639"/>
    </row>
    <row r="8" spans="1:9" ht="12.75">
      <c r="A8" s="748"/>
      <c r="B8" s="749"/>
      <c r="C8" s="639"/>
      <c r="D8" s="639"/>
      <c r="E8" s="639"/>
      <c r="F8" s="749"/>
      <c r="G8" s="639"/>
      <c r="H8" s="639"/>
      <c r="I8" s="639"/>
    </row>
    <row r="9" spans="1:9" ht="12.75">
      <c r="A9" s="748"/>
      <c r="B9" s="749"/>
      <c r="C9" s="639"/>
      <c r="D9" s="639"/>
      <c r="E9" s="639"/>
      <c r="F9" s="749"/>
      <c r="G9" s="639"/>
      <c r="H9" s="639"/>
      <c r="I9" s="639"/>
    </row>
    <row r="10" spans="1:9" ht="13.5" thickBot="1">
      <c r="A10" s="639"/>
      <c r="B10" s="639"/>
      <c r="C10" s="639"/>
      <c r="D10" s="639"/>
      <c r="E10" s="639"/>
      <c r="F10" s="639"/>
      <c r="G10" s="639"/>
      <c r="H10" s="692" t="s">
        <v>848</v>
      </c>
      <c r="I10" s="639"/>
    </row>
    <row r="11" spans="1:13" ht="17.25" thickBot="1" thickTop="1">
      <c r="A11" s="803" t="s">
        <v>871</v>
      </c>
      <c r="B11" s="804"/>
      <c r="C11" s="804"/>
      <c r="D11" s="804"/>
      <c r="E11" s="804"/>
      <c r="F11" s="804"/>
      <c r="G11" s="804"/>
      <c r="H11" s="750" t="s">
        <v>857</v>
      </c>
      <c r="I11" s="639"/>
      <c r="J11" s="693" t="s">
        <v>11</v>
      </c>
      <c r="K11">
        <f>IF($H$11="Nem","",2)</f>
        <v>2</v>
      </c>
      <c r="L11" t="s">
        <v>849</v>
      </c>
      <c r="M11" t="str">
        <f>CONCATENATE(J11,K11,L11)</f>
        <v>6.2.</v>
      </c>
    </row>
    <row r="12" spans="1:9" ht="13.5" thickTop="1">
      <c r="A12" s="639"/>
      <c r="B12" s="639"/>
      <c r="C12" s="639"/>
      <c r="D12" s="639"/>
      <c r="E12" s="639"/>
      <c r="F12" s="639"/>
      <c r="G12" s="639"/>
      <c r="H12" s="639"/>
      <c r="I12" s="639"/>
    </row>
    <row r="13" spans="1:13" ht="14.25">
      <c r="A13" s="751" t="s">
        <v>495</v>
      </c>
      <c r="B13" s="800" t="s">
        <v>872</v>
      </c>
      <c r="C13" s="801"/>
      <c r="D13" s="801"/>
      <c r="E13" s="801"/>
      <c r="F13" s="801"/>
      <c r="G13" s="801"/>
      <c r="H13" s="639"/>
      <c r="I13" s="639"/>
      <c r="J13" s="693" t="s">
        <v>11</v>
      </c>
      <c r="K13">
        <f>IF(H11="Nem",2,3)</f>
        <v>3</v>
      </c>
      <c r="L13" t="s">
        <v>849</v>
      </c>
      <c r="M13" t="str">
        <f>CONCATENATE(J13,K13,L13)</f>
        <v>6.3.</v>
      </c>
    </row>
    <row r="14" spans="1:9" ht="14.25">
      <c r="A14" s="639"/>
      <c r="B14" s="690"/>
      <c r="C14" s="639"/>
      <c r="D14" s="639"/>
      <c r="E14" s="639"/>
      <c r="F14" s="639"/>
      <c r="G14" s="639"/>
      <c r="H14" s="639"/>
      <c r="I14" s="639"/>
    </row>
    <row r="15" spans="1:13" ht="14.25">
      <c r="A15" s="751" t="s">
        <v>496</v>
      </c>
      <c r="B15" s="800" t="s">
        <v>497</v>
      </c>
      <c r="C15" s="801"/>
      <c r="D15" s="801"/>
      <c r="E15" s="801"/>
      <c r="F15" s="801"/>
      <c r="G15" s="801"/>
      <c r="H15" s="639"/>
      <c r="I15" s="639"/>
      <c r="J15" s="693" t="s">
        <v>11</v>
      </c>
      <c r="K15">
        <f>K13+1</f>
        <v>4</v>
      </c>
      <c r="L15" t="s">
        <v>849</v>
      </c>
      <c r="M15" t="str">
        <f>CONCATENATE(J15,K15,L15)</f>
        <v>6.4.</v>
      </c>
    </row>
    <row r="16" spans="1:9" ht="14.25">
      <c r="A16" s="639"/>
      <c r="B16" s="690"/>
      <c r="C16" s="639"/>
      <c r="D16" s="639"/>
      <c r="E16" s="639"/>
      <c r="F16" s="639"/>
      <c r="G16" s="639"/>
      <c r="H16" s="639"/>
      <c r="I16" s="639"/>
    </row>
    <row r="17" spans="1:13" ht="14.25">
      <c r="A17" s="751" t="s">
        <v>498</v>
      </c>
      <c r="B17" s="800" t="s">
        <v>499</v>
      </c>
      <c r="C17" s="801"/>
      <c r="D17" s="801"/>
      <c r="E17" s="801"/>
      <c r="F17" s="801"/>
      <c r="G17" s="801"/>
      <c r="H17" s="639"/>
      <c r="I17" s="639"/>
      <c r="J17" s="693" t="s">
        <v>11</v>
      </c>
      <c r="K17">
        <f>K15+1</f>
        <v>5</v>
      </c>
      <c r="L17" t="s">
        <v>849</v>
      </c>
      <c r="M17" t="str">
        <f>CONCATENATE(J17,K17,L17)</f>
        <v>6.5.</v>
      </c>
    </row>
    <row r="18" spans="1:9" ht="14.25">
      <c r="A18" s="639"/>
      <c r="B18" s="690"/>
      <c r="C18" s="639"/>
      <c r="D18" s="639"/>
      <c r="E18" s="639"/>
      <c r="F18" s="639"/>
      <c r="G18" s="639"/>
      <c r="H18" s="639"/>
      <c r="I18" s="639"/>
    </row>
    <row r="19" spans="1:13" ht="14.25">
      <c r="A19" s="751" t="s">
        <v>500</v>
      </c>
      <c r="B19" s="800" t="s">
        <v>501</v>
      </c>
      <c r="C19" s="801"/>
      <c r="D19" s="801"/>
      <c r="E19" s="801"/>
      <c r="F19" s="801"/>
      <c r="G19" s="801"/>
      <c r="H19" s="639"/>
      <c r="I19" s="639"/>
      <c r="J19" s="693" t="s">
        <v>11</v>
      </c>
      <c r="K19">
        <f>K17+1</f>
        <v>6</v>
      </c>
      <c r="L19" t="s">
        <v>849</v>
      </c>
      <c r="M19" t="str">
        <f>CONCATENATE(J19,K19,L19)</f>
        <v>6.6.</v>
      </c>
    </row>
    <row r="20" spans="1:9" ht="14.25">
      <c r="A20" s="639"/>
      <c r="B20" s="690"/>
      <c r="C20" s="639"/>
      <c r="D20" s="639"/>
      <c r="E20" s="639"/>
      <c r="F20" s="639"/>
      <c r="G20" s="639"/>
      <c r="H20" s="639"/>
      <c r="I20" s="639"/>
    </row>
    <row r="21" spans="1:13" ht="14.25">
      <c r="A21" s="751" t="s">
        <v>502</v>
      </c>
      <c r="B21" s="800" t="s">
        <v>503</v>
      </c>
      <c r="C21" s="801"/>
      <c r="D21" s="801"/>
      <c r="E21" s="801"/>
      <c r="F21" s="801"/>
      <c r="G21" s="801"/>
      <c r="H21" s="639"/>
      <c r="I21" s="639"/>
      <c r="J21" s="693" t="s">
        <v>11</v>
      </c>
      <c r="K21">
        <f>K19+1</f>
        <v>7</v>
      </c>
      <c r="L21" t="s">
        <v>849</v>
      </c>
      <c r="M21" t="str">
        <f>CONCATENATE(J21,K21,L21)</f>
        <v>6.7.</v>
      </c>
    </row>
    <row r="22" spans="1:9" ht="14.25">
      <c r="A22" s="639"/>
      <c r="B22" s="690"/>
      <c r="C22" s="639"/>
      <c r="D22" s="639"/>
      <c r="E22" s="639"/>
      <c r="F22" s="639"/>
      <c r="G22" s="639"/>
      <c r="H22" s="639"/>
      <c r="I22" s="639"/>
    </row>
    <row r="23" spans="1:13" ht="14.25">
      <c r="A23" s="751" t="s">
        <v>504</v>
      </c>
      <c r="B23" s="800" t="s">
        <v>505</v>
      </c>
      <c r="C23" s="801"/>
      <c r="D23" s="801"/>
      <c r="E23" s="801"/>
      <c r="F23" s="801"/>
      <c r="G23" s="801"/>
      <c r="H23" s="639"/>
      <c r="I23" s="639"/>
      <c r="J23" s="693" t="s">
        <v>11</v>
      </c>
      <c r="K23">
        <f>K21+1</f>
        <v>8</v>
      </c>
      <c r="L23" t="s">
        <v>849</v>
      </c>
      <c r="M23" t="str">
        <f>CONCATENATE(J23,K23,L23)</f>
        <v>6.8.</v>
      </c>
    </row>
    <row r="24" spans="1:9" ht="14.25">
      <c r="A24" s="639"/>
      <c r="B24" s="690"/>
      <c r="C24" s="639"/>
      <c r="D24" s="639"/>
      <c r="E24" s="639"/>
      <c r="F24" s="639"/>
      <c r="G24" s="639"/>
      <c r="H24" s="639"/>
      <c r="I24" s="639"/>
    </row>
    <row r="25" spans="1:13" ht="14.25">
      <c r="A25" s="751" t="s">
        <v>506</v>
      </c>
      <c r="B25" s="800" t="s">
        <v>507</v>
      </c>
      <c r="C25" s="801"/>
      <c r="D25" s="801"/>
      <c r="E25" s="801"/>
      <c r="F25" s="801"/>
      <c r="G25" s="801"/>
      <c r="H25" s="639"/>
      <c r="I25" s="639"/>
      <c r="J25" s="693" t="s">
        <v>11</v>
      </c>
      <c r="K25">
        <f>K23+1</f>
        <v>9</v>
      </c>
      <c r="L25" t="s">
        <v>849</v>
      </c>
      <c r="M25" t="str">
        <f>CONCATENATE(J25,K25,L25)</f>
        <v>6.9.</v>
      </c>
    </row>
    <row r="26" spans="1:9" ht="14.25">
      <c r="A26" s="639"/>
      <c r="B26" s="690"/>
      <c r="C26" s="639"/>
      <c r="D26" s="639"/>
      <c r="E26" s="639"/>
      <c r="F26" s="639"/>
      <c r="G26" s="639"/>
      <c r="H26" s="639"/>
      <c r="I26" s="639"/>
    </row>
    <row r="27" spans="1:13" ht="14.25">
      <c r="A27" s="751" t="s">
        <v>508</v>
      </c>
      <c r="B27" s="800" t="s">
        <v>509</v>
      </c>
      <c r="C27" s="801"/>
      <c r="D27" s="801"/>
      <c r="E27" s="801"/>
      <c r="F27" s="801"/>
      <c r="G27" s="801"/>
      <c r="H27" s="639"/>
      <c r="I27" s="639"/>
      <c r="J27" s="693" t="s">
        <v>11</v>
      </c>
      <c r="K27">
        <f>K25+1</f>
        <v>10</v>
      </c>
      <c r="L27" t="s">
        <v>849</v>
      </c>
      <c r="M27" t="str">
        <f>CONCATENATE(J27,K27,L27)</f>
        <v>6.10.</v>
      </c>
    </row>
    <row r="28" spans="1:9" ht="14.25">
      <c r="A28" s="639"/>
      <c r="B28" s="690"/>
      <c r="C28" s="639"/>
      <c r="D28" s="639"/>
      <c r="E28" s="639"/>
      <c r="F28" s="639"/>
      <c r="G28" s="639"/>
      <c r="H28" s="639"/>
      <c r="I28" s="639"/>
    </row>
    <row r="29" spans="1:13" ht="14.25">
      <c r="A29" s="751" t="s">
        <v>508</v>
      </c>
      <c r="B29" s="800" t="s">
        <v>510</v>
      </c>
      <c r="C29" s="801"/>
      <c r="D29" s="801"/>
      <c r="E29" s="801"/>
      <c r="F29" s="801"/>
      <c r="G29" s="801"/>
      <c r="H29" s="639"/>
      <c r="I29" s="639"/>
      <c r="J29" s="693" t="s">
        <v>11</v>
      </c>
      <c r="K29">
        <f>K27+1</f>
        <v>11</v>
      </c>
      <c r="L29" t="s">
        <v>849</v>
      </c>
      <c r="M29" t="str">
        <f>CONCATENATE(J29,K29,L29)</f>
        <v>6.11.</v>
      </c>
    </row>
    <row r="30" spans="1:9" ht="14.25">
      <c r="A30" s="639"/>
      <c r="B30" s="690"/>
      <c r="C30" s="639"/>
      <c r="D30" s="639"/>
      <c r="E30" s="639"/>
      <c r="F30" s="639"/>
      <c r="G30" s="639"/>
      <c r="H30" s="639"/>
      <c r="I30" s="639"/>
    </row>
    <row r="31" spans="1:13" ht="14.25">
      <c r="A31" s="751" t="s">
        <v>511</v>
      </c>
      <c r="B31" s="800" t="s">
        <v>512</v>
      </c>
      <c r="C31" s="801"/>
      <c r="D31" s="801"/>
      <c r="E31" s="801"/>
      <c r="F31" s="801"/>
      <c r="G31" s="801"/>
      <c r="H31" s="639"/>
      <c r="I31" s="639"/>
      <c r="J31" s="693" t="s">
        <v>11</v>
      </c>
      <c r="K31">
        <f>K29+1</f>
        <v>12</v>
      </c>
      <c r="L31" t="s">
        <v>849</v>
      </c>
      <c r="M31" t="str">
        <f>CONCATENATE(J31,K31,L31)</f>
        <v>6.12.</v>
      </c>
    </row>
    <row r="32" spans="1:9" ht="12.75">
      <c r="A32" s="639"/>
      <c r="B32" s="639"/>
      <c r="C32" s="639"/>
      <c r="D32" s="639"/>
      <c r="E32" s="639"/>
      <c r="F32" s="639"/>
      <c r="G32" s="639"/>
      <c r="H32" s="639"/>
      <c r="I32" s="639"/>
    </row>
    <row r="33" spans="1:9" ht="12.75">
      <c r="A33" s="639"/>
      <c r="B33" s="639"/>
      <c r="C33" s="639"/>
      <c r="D33" s="639"/>
      <c r="E33" s="639"/>
      <c r="F33" s="639"/>
      <c r="G33" s="639"/>
      <c r="H33" s="639"/>
      <c r="I33" s="639"/>
    </row>
  </sheetData>
  <sheetProtection/>
  <mergeCells count="13">
    <mergeCell ref="A2:F2"/>
    <mergeCell ref="A11:G11"/>
    <mergeCell ref="A3:G3"/>
    <mergeCell ref="B13:G13"/>
    <mergeCell ref="B15:G15"/>
    <mergeCell ref="B17:G17"/>
    <mergeCell ref="B31:G31"/>
    <mergeCell ref="B19:G19"/>
    <mergeCell ref="B21:G21"/>
    <mergeCell ref="B23:G23"/>
    <mergeCell ref="B25:G25"/>
    <mergeCell ref="B27:G27"/>
    <mergeCell ref="B29:G29"/>
  </mergeCells>
  <conditionalFormatting sqref="A11">
    <cfRule type="expression" priority="1" dxfId="3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J5" sqref="J5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1"/>
      <c r="B1" s="877" t="str">
        <f>CONCATENATE("16. melléklet ",Z_ALAPADATOK!A7," ",Z_ALAPADATOK!B7," ",Z_ALAPADATOK!C7," ",Z_ALAPADATOK!D7," ",Z_ALAPADATOK!E7," ",Z_ALAPADATOK!F7," ",Z_ALAPADATOK!G7," ",Z_ALAPADATOK!H7)</f>
        <v>16. melléklet a 8 / 2021. ( V.25 ) önkormányzati rendelethez</v>
      </c>
      <c r="C1" s="878"/>
      <c r="D1" s="878"/>
      <c r="E1" s="878"/>
    </row>
    <row r="2" spans="1:5" s="214" customFormat="1" ht="24.75" thickBot="1">
      <c r="A2" s="322" t="s">
        <v>454</v>
      </c>
      <c r="B2" s="879" t="str">
        <f>CONCATENATE('15'!B2:D2)</f>
        <v>Polgármesteri /közös/ hivatal</v>
      </c>
      <c r="C2" s="880"/>
      <c r="D2" s="881"/>
      <c r="E2" s="323" t="s">
        <v>42</v>
      </c>
    </row>
    <row r="3" spans="1:5" s="214" customFormat="1" ht="24.75" thickBot="1">
      <c r="A3" s="322" t="s">
        <v>135</v>
      </c>
      <c r="B3" s="879" t="s">
        <v>324</v>
      </c>
      <c r="C3" s="880"/>
      <c r="D3" s="881"/>
      <c r="E3" s="323" t="s">
        <v>43</v>
      </c>
    </row>
    <row r="4" spans="1:5" s="215" customFormat="1" ht="15.75" customHeight="1" thickBot="1">
      <c r="A4" s="324"/>
      <c r="B4" s="324"/>
      <c r="C4" s="325"/>
      <c r="D4" s="326"/>
      <c r="E4" s="325" t="str">
        <f>'15'!E4</f>
        <v> Forintban!</v>
      </c>
    </row>
    <row r="5" spans="1:5" ht="24.75" thickBot="1">
      <c r="A5" s="327" t="s">
        <v>136</v>
      </c>
      <c r="B5" s="328" t="s">
        <v>485</v>
      </c>
      <c r="C5" s="328" t="s">
        <v>450</v>
      </c>
      <c r="D5" s="329" t="s">
        <v>451</v>
      </c>
      <c r="E5" s="312" t="str">
        <f>CONCATENATE('15'!E5)</f>
        <v>Teljesítés
2020. XII. 31.</v>
      </c>
    </row>
    <row r="6" spans="1:5" s="216" customFormat="1" ht="12.75" customHeight="1" thickBot="1">
      <c r="A6" s="360" t="s">
        <v>386</v>
      </c>
      <c r="B6" s="361" t="s">
        <v>387</v>
      </c>
      <c r="C6" s="361" t="s">
        <v>388</v>
      </c>
      <c r="D6" s="362" t="s">
        <v>390</v>
      </c>
      <c r="E6" s="363" t="s">
        <v>389</v>
      </c>
    </row>
    <row r="7" spans="1:5" s="216" customFormat="1" ht="15.75" customHeight="1" thickBot="1">
      <c r="A7" s="873" t="s">
        <v>39</v>
      </c>
      <c r="B7" s="874"/>
      <c r="C7" s="874"/>
      <c r="D7" s="874"/>
      <c r="E7" s="875"/>
    </row>
    <row r="8" spans="1:5" s="152" customFormat="1" ht="12" customHeight="1" thickBot="1">
      <c r="A8" s="74" t="s">
        <v>6</v>
      </c>
      <c r="B8" s="83" t="s">
        <v>407</v>
      </c>
      <c r="C8" s="119">
        <f>SUM(C9:C19)</f>
        <v>0</v>
      </c>
      <c r="D8" s="119">
        <f>SUM(D9:D19)</f>
        <v>0</v>
      </c>
      <c r="E8" s="147">
        <f>SUM(E9:E19)</f>
        <v>0</v>
      </c>
    </row>
    <row r="9" spans="1:5" s="152" customFormat="1" ht="12" customHeight="1">
      <c r="A9" s="209" t="s">
        <v>63</v>
      </c>
      <c r="B9" s="8" t="s">
        <v>184</v>
      </c>
      <c r="C9" s="272"/>
      <c r="D9" s="272"/>
      <c r="E9" s="292"/>
    </row>
    <row r="10" spans="1:5" s="152" customFormat="1" ht="12" customHeight="1">
      <c r="A10" s="210" t="s">
        <v>64</v>
      </c>
      <c r="B10" s="6" t="s">
        <v>185</v>
      </c>
      <c r="C10" s="116"/>
      <c r="D10" s="116"/>
      <c r="E10" s="264"/>
    </row>
    <row r="11" spans="1:5" s="152" customFormat="1" ht="12" customHeight="1">
      <c r="A11" s="210" t="s">
        <v>65</v>
      </c>
      <c r="B11" s="6" t="s">
        <v>186</v>
      </c>
      <c r="C11" s="116"/>
      <c r="D11" s="116"/>
      <c r="E11" s="264"/>
    </row>
    <row r="12" spans="1:5" s="152" customFormat="1" ht="12" customHeight="1">
      <c r="A12" s="210" t="s">
        <v>66</v>
      </c>
      <c r="B12" s="6" t="s">
        <v>187</v>
      </c>
      <c r="C12" s="116"/>
      <c r="D12" s="116"/>
      <c r="E12" s="264"/>
    </row>
    <row r="13" spans="1:5" s="152" customFormat="1" ht="12" customHeight="1">
      <c r="A13" s="210" t="s">
        <v>97</v>
      </c>
      <c r="B13" s="6" t="s">
        <v>188</v>
      </c>
      <c r="C13" s="116"/>
      <c r="D13" s="116"/>
      <c r="E13" s="264"/>
    </row>
    <row r="14" spans="1:5" s="152" customFormat="1" ht="12" customHeight="1">
      <c r="A14" s="210" t="s">
        <v>67</v>
      </c>
      <c r="B14" s="6" t="s">
        <v>305</v>
      </c>
      <c r="C14" s="116"/>
      <c r="D14" s="116"/>
      <c r="E14" s="264"/>
    </row>
    <row r="15" spans="1:5" s="152" customFormat="1" ht="12" customHeight="1">
      <c r="A15" s="210" t="s">
        <v>68</v>
      </c>
      <c r="B15" s="5" t="s">
        <v>306</v>
      </c>
      <c r="C15" s="116"/>
      <c r="D15" s="116"/>
      <c r="E15" s="264"/>
    </row>
    <row r="16" spans="1:5" s="152" customFormat="1" ht="12" customHeight="1">
      <c r="A16" s="210" t="s">
        <v>76</v>
      </c>
      <c r="B16" s="6" t="s">
        <v>191</v>
      </c>
      <c r="C16" s="270"/>
      <c r="D16" s="270"/>
      <c r="E16" s="268"/>
    </row>
    <row r="17" spans="1:5" s="217" customFormat="1" ht="12" customHeight="1">
      <c r="A17" s="210" t="s">
        <v>77</v>
      </c>
      <c r="B17" s="6" t="s">
        <v>192</v>
      </c>
      <c r="C17" s="116"/>
      <c r="D17" s="116"/>
      <c r="E17" s="264"/>
    </row>
    <row r="18" spans="1:5" s="217" customFormat="1" ht="12" customHeight="1">
      <c r="A18" s="210" t="s">
        <v>78</v>
      </c>
      <c r="B18" s="6" t="s">
        <v>338</v>
      </c>
      <c r="C18" s="118"/>
      <c r="D18" s="118"/>
      <c r="E18" s="265"/>
    </row>
    <row r="19" spans="1:5" s="217" customFormat="1" ht="12" customHeight="1" thickBot="1">
      <c r="A19" s="210" t="s">
        <v>79</v>
      </c>
      <c r="B19" s="5" t="s">
        <v>193</v>
      </c>
      <c r="C19" s="118"/>
      <c r="D19" s="118"/>
      <c r="E19" s="265"/>
    </row>
    <row r="20" spans="1:5" s="152" customFormat="1" ht="12" customHeight="1" thickBot="1">
      <c r="A20" s="74" t="s">
        <v>7</v>
      </c>
      <c r="B20" s="83" t="s">
        <v>307</v>
      </c>
      <c r="C20" s="119">
        <f>SUM(C21:C23)</f>
        <v>0</v>
      </c>
      <c r="D20" s="119">
        <f>SUM(D21:D23)</f>
        <v>0</v>
      </c>
      <c r="E20" s="147">
        <f>SUM(E21:E23)</f>
        <v>0</v>
      </c>
    </row>
    <row r="21" spans="1:5" s="217" customFormat="1" ht="12" customHeight="1">
      <c r="A21" s="210" t="s">
        <v>69</v>
      </c>
      <c r="B21" s="7" t="s">
        <v>168</v>
      </c>
      <c r="C21" s="116"/>
      <c r="D21" s="116"/>
      <c r="E21" s="264"/>
    </row>
    <row r="22" spans="1:5" s="217" customFormat="1" ht="12" customHeight="1">
      <c r="A22" s="210" t="s">
        <v>70</v>
      </c>
      <c r="B22" s="6" t="s">
        <v>308</v>
      </c>
      <c r="C22" s="116"/>
      <c r="D22" s="116"/>
      <c r="E22" s="264"/>
    </row>
    <row r="23" spans="1:5" s="217" customFormat="1" ht="12" customHeight="1">
      <c r="A23" s="210" t="s">
        <v>71</v>
      </c>
      <c r="B23" s="6" t="s">
        <v>309</v>
      </c>
      <c r="C23" s="116"/>
      <c r="D23" s="116"/>
      <c r="E23" s="264"/>
    </row>
    <row r="24" spans="1:5" s="217" customFormat="1" ht="12" customHeight="1" thickBot="1">
      <c r="A24" s="210" t="s">
        <v>72</v>
      </c>
      <c r="B24" s="6" t="s">
        <v>408</v>
      </c>
      <c r="C24" s="116"/>
      <c r="D24" s="116"/>
      <c r="E24" s="264"/>
    </row>
    <row r="25" spans="1:5" s="217" customFormat="1" ht="12" customHeight="1" thickBot="1">
      <c r="A25" s="78" t="s">
        <v>8</v>
      </c>
      <c r="B25" s="56" t="s">
        <v>113</v>
      </c>
      <c r="C25" s="294"/>
      <c r="D25" s="294"/>
      <c r="E25" s="146"/>
    </row>
    <row r="26" spans="1:5" s="217" customFormat="1" ht="12" customHeight="1" thickBot="1">
      <c r="A26" s="78" t="s">
        <v>9</v>
      </c>
      <c r="B26" s="56" t="s">
        <v>409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177</v>
      </c>
      <c r="B27" s="212" t="s">
        <v>173</v>
      </c>
      <c r="C27" s="271"/>
      <c r="D27" s="271"/>
      <c r="E27" s="269"/>
    </row>
    <row r="28" spans="1:5" s="217" customFormat="1" ht="12" customHeight="1">
      <c r="A28" s="211" t="s">
        <v>178</v>
      </c>
      <c r="B28" s="212" t="s">
        <v>308</v>
      </c>
      <c r="C28" s="116"/>
      <c r="D28" s="116"/>
      <c r="E28" s="264"/>
    </row>
    <row r="29" spans="1:5" s="217" customFormat="1" ht="12" customHeight="1">
      <c r="A29" s="211" t="s">
        <v>179</v>
      </c>
      <c r="B29" s="213" t="s">
        <v>311</v>
      </c>
      <c r="C29" s="116"/>
      <c r="D29" s="116"/>
      <c r="E29" s="264"/>
    </row>
    <row r="30" spans="1:5" s="217" customFormat="1" ht="12" customHeight="1" thickBot="1">
      <c r="A30" s="210" t="s">
        <v>180</v>
      </c>
      <c r="B30" s="61" t="s">
        <v>410</v>
      </c>
      <c r="C30" s="49"/>
      <c r="D30" s="49"/>
      <c r="E30" s="293"/>
    </row>
    <row r="31" spans="1:5" s="217" customFormat="1" ht="12" customHeight="1" thickBot="1">
      <c r="A31" s="78" t="s">
        <v>10</v>
      </c>
      <c r="B31" s="56" t="s">
        <v>312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56</v>
      </c>
      <c r="B32" s="212" t="s">
        <v>198</v>
      </c>
      <c r="C32" s="271"/>
      <c r="D32" s="271"/>
      <c r="E32" s="269"/>
    </row>
    <row r="33" spans="1:5" s="217" customFormat="1" ht="12" customHeight="1">
      <c r="A33" s="211" t="s">
        <v>57</v>
      </c>
      <c r="B33" s="213" t="s">
        <v>199</v>
      </c>
      <c r="C33" s="120"/>
      <c r="D33" s="120"/>
      <c r="E33" s="266"/>
    </row>
    <row r="34" spans="1:5" s="217" customFormat="1" ht="12" customHeight="1" thickBot="1">
      <c r="A34" s="210" t="s">
        <v>58</v>
      </c>
      <c r="B34" s="61" t="s">
        <v>200</v>
      </c>
      <c r="C34" s="49"/>
      <c r="D34" s="49"/>
      <c r="E34" s="293"/>
    </row>
    <row r="35" spans="1:5" s="152" customFormat="1" ht="12" customHeight="1" thickBot="1">
      <c r="A35" s="78" t="s">
        <v>11</v>
      </c>
      <c r="B35" s="56" t="s">
        <v>283</v>
      </c>
      <c r="C35" s="294"/>
      <c r="D35" s="294"/>
      <c r="E35" s="146"/>
    </row>
    <row r="36" spans="1:5" s="152" customFormat="1" ht="12" customHeight="1" thickBot="1">
      <c r="A36" s="78" t="s">
        <v>12</v>
      </c>
      <c r="B36" s="56" t="s">
        <v>313</v>
      </c>
      <c r="C36" s="294"/>
      <c r="D36" s="294"/>
      <c r="E36" s="146"/>
    </row>
    <row r="37" spans="1:5" s="152" customFormat="1" ht="12" customHeight="1" thickBot="1">
      <c r="A37" s="74" t="s">
        <v>13</v>
      </c>
      <c r="B37" s="56" t="s">
        <v>314</v>
      </c>
      <c r="C37" s="119">
        <f>+C8+C20+C25+C26+C31+C35+C36</f>
        <v>0</v>
      </c>
      <c r="D37" s="119">
        <f>+D8+D20+D25+D26+D31+D35+D36</f>
        <v>0</v>
      </c>
      <c r="E37" s="147">
        <f>+E8+E20+E25+E26+E31+E35+E36</f>
        <v>0</v>
      </c>
    </row>
    <row r="38" spans="1:5" s="152" customFormat="1" ht="12" customHeight="1" thickBot="1">
      <c r="A38" s="84" t="s">
        <v>14</v>
      </c>
      <c r="B38" s="56" t="s">
        <v>315</v>
      </c>
      <c r="C38" s="119">
        <f>+C39+C40+C41</f>
        <v>0</v>
      </c>
      <c r="D38" s="119">
        <f>+D39+D40+D41</f>
        <v>0</v>
      </c>
      <c r="E38" s="147">
        <f>+E39+E40+E41</f>
        <v>0</v>
      </c>
    </row>
    <row r="39" spans="1:5" s="152" customFormat="1" ht="12" customHeight="1">
      <c r="A39" s="211" t="s">
        <v>316</v>
      </c>
      <c r="B39" s="212" t="s">
        <v>150</v>
      </c>
      <c r="C39" s="271"/>
      <c r="D39" s="271"/>
      <c r="E39" s="269"/>
    </row>
    <row r="40" spans="1:5" s="152" customFormat="1" ht="12" customHeight="1">
      <c r="A40" s="211" t="s">
        <v>317</v>
      </c>
      <c r="B40" s="213" t="s">
        <v>0</v>
      </c>
      <c r="C40" s="120"/>
      <c r="D40" s="120"/>
      <c r="E40" s="266"/>
    </row>
    <row r="41" spans="1:5" s="217" customFormat="1" ht="12" customHeight="1" thickBot="1">
      <c r="A41" s="210" t="s">
        <v>318</v>
      </c>
      <c r="B41" s="61" t="s">
        <v>319</v>
      </c>
      <c r="C41" s="49"/>
      <c r="D41" s="49"/>
      <c r="E41" s="293"/>
    </row>
    <row r="42" spans="1:5" s="217" customFormat="1" ht="15" customHeight="1" thickBot="1">
      <c r="A42" s="84" t="s">
        <v>15</v>
      </c>
      <c r="B42" s="85" t="s">
        <v>320</v>
      </c>
      <c r="C42" s="295">
        <f>+C37+C38</f>
        <v>0</v>
      </c>
      <c r="D42" s="295">
        <f>+D37+D38</f>
        <v>0</v>
      </c>
      <c r="E42" s="150">
        <f>+E37+E38</f>
        <v>0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73" t="s">
        <v>40</v>
      </c>
      <c r="B45" s="874"/>
      <c r="C45" s="874"/>
      <c r="D45" s="874"/>
      <c r="E45" s="875"/>
    </row>
    <row r="46" spans="1:5" s="218" customFormat="1" ht="12" customHeight="1" thickBot="1">
      <c r="A46" s="78" t="s">
        <v>6</v>
      </c>
      <c r="B46" s="56" t="s">
        <v>321</v>
      </c>
      <c r="C46" s="119">
        <f>SUM(C47:C51)</f>
        <v>0</v>
      </c>
      <c r="D46" s="119">
        <f>SUM(D47:D51)</f>
        <v>0</v>
      </c>
      <c r="E46" s="147">
        <f>SUM(E47:E51)</f>
        <v>0</v>
      </c>
    </row>
    <row r="47" spans="1:5" ht="12" customHeight="1">
      <c r="A47" s="210" t="s">
        <v>63</v>
      </c>
      <c r="B47" s="7" t="s">
        <v>35</v>
      </c>
      <c r="C47" s="271"/>
      <c r="D47" s="271"/>
      <c r="E47" s="269"/>
    </row>
    <row r="48" spans="1:5" ht="12" customHeight="1">
      <c r="A48" s="210" t="s">
        <v>64</v>
      </c>
      <c r="B48" s="6" t="s">
        <v>122</v>
      </c>
      <c r="C48" s="48"/>
      <c r="D48" s="48"/>
      <c r="E48" s="267"/>
    </row>
    <row r="49" spans="1:5" ht="12" customHeight="1">
      <c r="A49" s="210" t="s">
        <v>65</v>
      </c>
      <c r="B49" s="6" t="s">
        <v>90</v>
      </c>
      <c r="C49" s="48"/>
      <c r="D49" s="48"/>
      <c r="E49" s="267"/>
    </row>
    <row r="50" spans="1:5" ht="12" customHeight="1">
      <c r="A50" s="210" t="s">
        <v>66</v>
      </c>
      <c r="B50" s="6" t="s">
        <v>123</v>
      </c>
      <c r="C50" s="48"/>
      <c r="D50" s="48"/>
      <c r="E50" s="267"/>
    </row>
    <row r="51" spans="1:5" ht="12" customHeight="1" thickBot="1">
      <c r="A51" s="210" t="s">
        <v>97</v>
      </c>
      <c r="B51" s="6" t="s">
        <v>124</v>
      </c>
      <c r="C51" s="48"/>
      <c r="D51" s="48"/>
      <c r="E51" s="267"/>
    </row>
    <row r="52" spans="1:5" ht="12" customHeight="1" thickBot="1">
      <c r="A52" s="78" t="s">
        <v>7</v>
      </c>
      <c r="B52" s="56" t="s">
        <v>322</v>
      </c>
      <c r="C52" s="119">
        <f>SUM(C53:C55)</f>
        <v>0</v>
      </c>
      <c r="D52" s="119">
        <f>SUM(D53:D55)</f>
        <v>0</v>
      </c>
      <c r="E52" s="147">
        <f>SUM(E53:E55)</f>
        <v>0</v>
      </c>
    </row>
    <row r="53" spans="1:5" s="218" customFormat="1" ht="12" customHeight="1">
      <c r="A53" s="210" t="s">
        <v>69</v>
      </c>
      <c r="B53" s="7" t="s">
        <v>143</v>
      </c>
      <c r="C53" s="271"/>
      <c r="D53" s="271"/>
      <c r="E53" s="269"/>
    </row>
    <row r="54" spans="1:5" ht="12" customHeight="1">
      <c r="A54" s="210" t="s">
        <v>70</v>
      </c>
      <c r="B54" s="6" t="s">
        <v>126</v>
      </c>
      <c r="C54" s="48"/>
      <c r="D54" s="48"/>
      <c r="E54" s="267"/>
    </row>
    <row r="55" spans="1:5" ht="12" customHeight="1">
      <c r="A55" s="210" t="s">
        <v>71</v>
      </c>
      <c r="B55" s="6" t="s">
        <v>41</v>
      </c>
      <c r="C55" s="48"/>
      <c r="D55" s="48"/>
      <c r="E55" s="267"/>
    </row>
    <row r="56" spans="1:5" ht="12" customHeight="1" thickBot="1">
      <c r="A56" s="210" t="s">
        <v>72</v>
      </c>
      <c r="B56" s="6" t="s">
        <v>411</v>
      </c>
      <c r="C56" s="48"/>
      <c r="D56" s="48"/>
      <c r="E56" s="267"/>
    </row>
    <row r="57" spans="1:5" ht="12" customHeight="1" thickBot="1">
      <c r="A57" s="78" t="s">
        <v>8</v>
      </c>
      <c r="B57" s="56" t="s">
        <v>2</v>
      </c>
      <c r="C57" s="294"/>
      <c r="D57" s="294"/>
      <c r="E57" s="146"/>
    </row>
    <row r="58" spans="1:5" ht="15" customHeight="1" thickBot="1">
      <c r="A58" s="78" t="s">
        <v>9</v>
      </c>
      <c r="B58" s="90" t="s">
        <v>415</v>
      </c>
      <c r="C58" s="295">
        <f>+C46+C52+C57</f>
        <v>0</v>
      </c>
      <c r="D58" s="295">
        <f>+D46+D52+D57</f>
        <v>0</v>
      </c>
      <c r="E58" s="150">
        <f>+E46+E52+E57</f>
        <v>0</v>
      </c>
    </row>
    <row r="59" spans="3:5" ht="13.5" thickBot="1">
      <c r="C59" s="654">
        <f>C42-C58</f>
        <v>0</v>
      </c>
      <c r="D59" s="654">
        <f>D42-D58</f>
        <v>0</v>
      </c>
      <c r="E59" s="151"/>
    </row>
    <row r="60" spans="1:5" ht="15" customHeight="1" thickBot="1">
      <c r="A60" s="299" t="s">
        <v>486</v>
      </c>
      <c r="B60" s="300"/>
      <c r="C60" s="289"/>
      <c r="D60" s="289"/>
      <c r="E60" s="288"/>
    </row>
    <row r="61" spans="1:5" ht="14.25" customHeight="1" thickBot="1">
      <c r="A61" s="301" t="s">
        <v>487</v>
      </c>
      <c r="B61" s="302"/>
      <c r="C61" s="289"/>
      <c r="D61" s="289"/>
      <c r="E61" s="288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B1" sqref="B1:E1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21" customHeight="1" thickBot="1">
      <c r="A1" s="321"/>
      <c r="B1" s="882" t="str">
        <f>CONCATENATE("17. melléklet ",Z_ALAPADATOK!A7," ",Z_ALAPADATOK!B7," ",Z_ALAPADATOK!C7," ",Z_ALAPADATOK!D7," ",Z_ALAPADATOK!E7," ",Z_ALAPADATOK!F7," ",Z_ALAPADATOK!G7," ",Z_ALAPADATOK!H7)</f>
        <v>17. melléklet a 8 / 2021. ( V.25 ) önkormányzati rendelethez</v>
      </c>
      <c r="C1" s="883"/>
      <c r="D1" s="883"/>
      <c r="E1" s="883"/>
    </row>
    <row r="2" spans="1:5" s="214" customFormat="1" ht="24.75" thickBot="1">
      <c r="A2" s="322" t="s">
        <v>454</v>
      </c>
      <c r="B2" s="879" t="str">
        <f>CONCATENATE('16'!B2:D2)</f>
        <v>Polgármesteri /közös/ hivatal</v>
      </c>
      <c r="C2" s="880"/>
      <c r="D2" s="881"/>
      <c r="E2" s="323" t="s">
        <v>42</v>
      </c>
    </row>
    <row r="3" spans="1:5" s="214" customFormat="1" ht="24.75" thickBot="1">
      <c r="A3" s="322" t="s">
        <v>135</v>
      </c>
      <c r="B3" s="879" t="s">
        <v>416</v>
      </c>
      <c r="C3" s="880"/>
      <c r="D3" s="881"/>
      <c r="E3" s="323" t="s">
        <v>333</v>
      </c>
    </row>
    <row r="4" spans="1:5" s="215" customFormat="1" ht="15.75" customHeight="1" thickBot="1">
      <c r="A4" s="324"/>
      <c r="B4" s="324"/>
      <c r="C4" s="325"/>
      <c r="D4" s="326"/>
      <c r="E4" s="325" t="str">
        <f>'16'!E4</f>
        <v> Forintban!</v>
      </c>
    </row>
    <row r="5" spans="1:5" ht="24.75" thickBot="1">
      <c r="A5" s="327" t="s">
        <v>136</v>
      </c>
      <c r="B5" s="328" t="s">
        <v>485</v>
      </c>
      <c r="C5" s="328" t="s">
        <v>450</v>
      </c>
      <c r="D5" s="329" t="s">
        <v>451</v>
      </c>
      <c r="E5" s="312" t="str">
        <f>CONCATENATE('16'!E5)</f>
        <v>Teljesítés
2020. XII. 31.</v>
      </c>
    </row>
    <row r="6" spans="1:5" s="216" customFormat="1" ht="12.75" customHeight="1" thickBot="1">
      <c r="A6" s="360" t="s">
        <v>386</v>
      </c>
      <c r="B6" s="361" t="s">
        <v>387</v>
      </c>
      <c r="C6" s="361" t="s">
        <v>388</v>
      </c>
      <c r="D6" s="362" t="s">
        <v>390</v>
      </c>
      <c r="E6" s="363" t="s">
        <v>389</v>
      </c>
    </row>
    <row r="7" spans="1:5" s="216" customFormat="1" ht="15.75" customHeight="1" thickBot="1">
      <c r="A7" s="873" t="s">
        <v>39</v>
      </c>
      <c r="B7" s="874"/>
      <c r="C7" s="874"/>
      <c r="D7" s="874"/>
      <c r="E7" s="875"/>
    </row>
    <row r="8" spans="1:5" s="152" customFormat="1" ht="12" customHeight="1" thickBot="1">
      <c r="A8" s="74" t="s">
        <v>6</v>
      </c>
      <c r="B8" s="83" t="s">
        <v>407</v>
      </c>
      <c r="C8" s="119">
        <f>SUM(C9:C19)</f>
        <v>0</v>
      </c>
      <c r="D8" s="119">
        <f>SUM(D9:D19)</f>
        <v>0</v>
      </c>
      <c r="E8" s="147">
        <f>SUM(E9:E19)</f>
        <v>119491</v>
      </c>
    </row>
    <row r="9" spans="1:5" s="152" customFormat="1" ht="12" customHeight="1">
      <c r="A9" s="209" t="s">
        <v>63</v>
      </c>
      <c r="B9" s="8" t="s">
        <v>184</v>
      </c>
      <c r="C9" s="272"/>
      <c r="D9" s="272"/>
      <c r="E9" s="292"/>
    </row>
    <row r="10" spans="1:5" s="152" customFormat="1" ht="12" customHeight="1">
      <c r="A10" s="210" t="s">
        <v>64</v>
      </c>
      <c r="B10" s="6" t="s">
        <v>185</v>
      </c>
      <c r="C10" s="116"/>
      <c r="D10" s="116"/>
      <c r="E10" s="264">
        <v>105980</v>
      </c>
    </row>
    <row r="11" spans="1:5" s="152" customFormat="1" ht="12" customHeight="1">
      <c r="A11" s="210" t="s">
        <v>65</v>
      </c>
      <c r="B11" s="6" t="s">
        <v>186</v>
      </c>
      <c r="C11" s="116"/>
      <c r="D11" s="116"/>
      <c r="E11" s="264"/>
    </row>
    <row r="12" spans="1:5" s="152" customFormat="1" ht="12" customHeight="1">
      <c r="A12" s="210" t="s">
        <v>66</v>
      </c>
      <c r="B12" s="6" t="s">
        <v>187</v>
      </c>
      <c r="C12" s="116"/>
      <c r="D12" s="116"/>
      <c r="E12" s="264"/>
    </row>
    <row r="13" spans="1:5" s="152" customFormat="1" ht="12" customHeight="1">
      <c r="A13" s="210" t="s">
        <v>97</v>
      </c>
      <c r="B13" s="6" t="s">
        <v>188</v>
      </c>
      <c r="C13" s="116"/>
      <c r="D13" s="116"/>
      <c r="E13" s="264"/>
    </row>
    <row r="14" spans="1:5" s="152" customFormat="1" ht="12" customHeight="1">
      <c r="A14" s="210" t="s">
        <v>67</v>
      </c>
      <c r="B14" s="6" t="s">
        <v>305</v>
      </c>
      <c r="C14" s="116"/>
      <c r="D14" s="116"/>
      <c r="E14" s="264">
        <v>11622</v>
      </c>
    </row>
    <row r="15" spans="1:5" s="152" customFormat="1" ht="12" customHeight="1">
      <c r="A15" s="210" t="s">
        <v>68</v>
      </c>
      <c r="B15" s="5" t="s">
        <v>306</v>
      </c>
      <c r="C15" s="116"/>
      <c r="D15" s="116"/>
      <c r="E15" s="264"/>
    </row>
    <row r="16" spans="1:5" s="152" customFormat="1" ht="12" customHeight="1">
      <c r="A16" s="210" t="s">
        <v>76</v>
      </c>
      <c r="B16" s="6" t="s">
        <v>191</v>
      </c>
      <c r="C16" s="270"/>
      <c r="D16" s="270"/>
      <c r="E16" s="268">
        <v>1889</v>
      </c>
    </row>
    <row r="17" spans="1:5" s="217" customFormat="1" ht="12" customHeight="1">
      <c r="A17" s="210" t="s">
        <v>77</v>
      </c>
      <c r="B17" s="6" t="s">
        <v>192</v>
      </c>
      <c r="C17" s="116"/>
      <c r="D17" s="116"/>
      <c r="E17" s="264"/>
    </row>
    <row r="18" spans="1:5" s="217" customFormat="1" ht="12" customHeight="1">
      <c r="A18" s="210" t="s">
        <v>78</v>
      </c>
      <c r="B18" s="6" t="s">
        <v>338</v>
      </c>
      <c r="C18" s="118"/>
      <c r="D18" s="118"/>
      <c r="E18" s="265"/>
    </row>
    <row r="19" spans="1:5" s="217" customFormat="1" ht="12" customHeight="1" thickBot="1">
      <c r="A19" s="210" t="s">
        <v>79</v>
      </c>
      <c r="B19" s="5" t="s">
        <v>193</v>
      </c>
      <c r="C19" s="118"/>
      <c r="D19" s="118"/>
      <c r="E19" s="265"/>
    </row>
    <row r="20" spans="1:5" s="152" customFormat="1" ht="12" customHeight="1" thickBot="1">
      <c r="A20" s="74" t="s">
        <v>7</v>
      </c>
      <c r="B20" s="83" t="s">
        <v>307</v>
      </c>
      <c r="C20" s="119">
        <f>SUM(C21:C23)</f>
        <v>0</v>
      </c>
      <c r="D20" s="119">
        <f>SUM(D21:D23)</f>
        <v>1297363</v>
      </c>
      <c r="E20" s="147">
        <f>SUM(E21:E23)</f>
        <v>1273524</v>
      </c>
    </row>
    <row r="21" spans="1:5" s="217" customFormat="1" ht="12" customHeight="1">
      <c r="A21" s="210" t="s">
        <v>69</v>
      </c>
      <c r="B21" s="7" t="s">
        <v>168</v>
      </c>
      <c r="C21" s="116"/>
      <c r="D21" s="116"/>
      <c r="E21" s="264"/>
    </row>
    <row r="22" spans="1:5" s="217" customFormat="1" ht="12" customHeight="1">
      <c r="A22" s="210" t="s">
        <v>70</v>
      </c>
      <c r="B22" s="6" t="s">
        <v>308</v>
      </c>
      <c r="C22" s="116"/>
      <c r="D22" s="116"/>
      <c r="E22" s="264"/>
    </row>
    <row r="23" spans="1:5" s="217" customFormat="1" ht="12" customHeight="1">
      <c r="A23" s="210" t="s">
        <v>71</v>
      </c>
      <c r="B23" s="6" t="s">
        <v>309</v>
      </c>
      <c r="C23" s="116"/>
      <c r="D23" s="116">
        <v>1297363</v>
      </c>
      <c r="E23" s="264">
        <v>1273524</v>
      </c>
    </row>
    <row r="24" spans="1:5" s="217" customFormat="1" ht="12" customHeight="1" thickBot="1">
      <c r="A24" s="210" t="s">
        <v>72</v>
      </c>
      <c r="B24" s="6" t="s">
        <v>408</v>
      </c>
      <c r="C24" s="116"/>
      <c r="D24" s="116"/>
      <c r="E24" s="264"/>
    </row>
    <row r="25" spans="1:5" s="217" customFormat="1" ht="12" customHeight="1" thickBot="1">
      <c r="A25" s="78" t="s">
        <v>8</v>
      </c>
      <c r="B25" s="56" t="s">
        <v>113</v>
      </c>
      <c r="C25" s="294"/>
      <c r="D25" s="294"/>
      <c r="E25" s="146"/>
    </row>
    <row r="26" spans="1:5" s="217" customFormat="1" ht="12" customHeight="1" thickBot="1">
      <c r="A26" s="78" t="s">
        <v>9</v>
      </c>
      <c r="B26" s="56" t="s">
        <v>409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177</v>
      </c>
      <c r="B27" s="212" t="s">
        <v>173</v>
      </c>
      <c r="C27" s="271"/>
      <c r="D27" s="271"/>
      <c r="E27" s="269"/>
    </row>
    <row r="28" spans="1:5" s="217" customFormat="1" ht="12" customHeight="1">
      <c r="A28" s="211" t="s">
        <v>178</v>
      </c>
      <c r="B28" s="212" t="s">
        <v>308</v>
      </c>
      <c r="C28" s="116"/>
      <c r="D28" s="116"/>
      <c r="E28" s="264"/>
    </row>
    <row r="29" spans="1:5" s="217" customFormat="1" ht="12" customHeight="1">
      <c r="A29" s="211" t="s">
        <v>179</v>
      </c>
      <c r="B29" s="213" t="s">
        <v>311</v>
      </c>
      <c r="C29" s="116"/>
      <c r="D29" s="116"/>
      <c r="E29" s="264"/>
    </row>
    <row r="30" spans="1:5" s="217" customFormat="1" ht="12" customHeight="1" thickBot="1">
      <c r="A30" s="210" t="s">
        <v>180</v>
      </c>
      <c r="B30" s="61" t="s">
        <v>410</v>
      </c>
      <c r="C30" s="49"/>
      <c r="D30" s="49"/>
      <c r="E30" s="293"/>
    </row>
    <row r="31" spans="1:5" s="217" customFormat="1" ht="12" customHeight="1" thickBot="1">
      <c r="A31" s="78" t="s">
        <v>10</v>
      </c>
      <c r="B31" s="56" t="s">
        <v>312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56</v>
      </c>
      <c r="B32" s="212" t="s">
        <v>198</v>
      </c>
      <c r="C32" s="271"/>
      <c r="D32" s="271"/>
      <c r="E32" s="269"/>
    </row>
    <row r="33" spans="1:5" s="217" customFormat="1" ht="12" customHeight="1">
      <c r="A33" s="211" t="s">
        <v>57</v>
      </c>
      <c r="B33" s="213" t="s">
        <v>199</v>
      </c>
      <c r="C33" s="120"/>
      <c r="D33" s="120"/>
      <c r="E33" s="266"/>
    </row>
    <row r="34" spans="1:5" s="217" customFormat="1" ht="12" customHeight="1" thickBot="1">
      <c r="A34" s="210" t="s">
        <v>58</v>
      </c>
      <c r="B34" s="61" t="s">
        <v>200</v>
      </c>
      <c r="C34" s="49"/>
      <c r="D34" s="49"/>
      <c r="E34" s="293"/>
    </row>
    <row r="35" spans="1:5" s="152" customFormat="1" ht="12" customHeight="1" thickBot="1">
      <c r="A35" s="78" t="s">
        <v>11</v>
      </c>
      <c r="B35" s="56" t="s">
        <v>283</v>
      </c>
      <c r="C35" s="294"/>
      <c r="D35" s="294"/>
      <c r="E35" s="146"/>
    </row>
    <row r="36" spans="1:5" s="152" customFormat="1" ht="12" customHeight="1" thickBot="1">
      <c r="A36" s="78" t="s">
        <v>12</v>
      </c>
      <c r="B36" s="56" t="s">
        <v>313</v>
      </c>
      <c r="C36" s="294"/>
      <c r="D36" s="294"/>
      <c r="E36" s="146"/>
    </row>
    <row r="37" spans="1:5" s="152" customFormat="1" ht="12" customHeight="1" thickBot="1">
      <c r="A37" s="74" t="s">
        <v>13</v>
      </c>
      <c r="B37" s="56" t="s">
        <v>314</v>
      </c>
      <c r="C37" s="119">
        <f>+C8+C20+C25+C26+C31+C35+C36</f>
        <v>0</v>
      </c>
      <c r="D37" s="119">
        <f>+D8+D20+D25+D26+D31+D35+D36</f>
        <v>1297363</v>
      </c>
      <c r="E37" s="147">
        <f>+E8+E20+E25+E26+E31+E35+E36</f>
        <v>1393015</v>
      </c>
    </row>
    <row r="38" spans="1:5" s="152" customFormat="1" ht="12" customHeight="1" thickBot="1">
      <c r="A38" s="84" t="s">
        <v>14</v>
      </c>
      <c r="B38" s="56" t="s">
        <v>315</v>
      </c>
      <c r="C38" s="119">
        <f>+C39+C40+C41</f>
        <v>68780769</v>
      </c>
      <c r="D38" s="119">
        <f>+D39+D40+D41</f>
        <v>71813100</v>
      </c>
      <c r="E38" s="147">
        <f>+E39+E40+E41</f>
        <v>68969703</v>
      </c>
    </row>
    <row r="39" spans="1:5" s="152" customFormat="1" ht="12" customHeight="1">
      <c r="A39" s="211" t="s">
        <v>316</v>
      </c>
      <c r="B39" s="212" t="s">
        <v>150</v>
      </c>
      <c r="C39" s="271">
        <v>3586507</v>
      </c>
      <c r="D39" s="271">
        <v>5789349</v>
      </c>
      <c r="E39" s="269">
        <v>4742942</v>
      </c>
    </row>
    <row r="40" spans="1:5" s="152" customFormat="1" ht="12" customHeight="1">
      <c r="A40" s="211" t="s">
        <v>317</v>
      </c>
      <c r="B40" s="213" t="s">
        <v>0</v>
      </c>
      <c r="C40" s="120"/>
      <c r="D40" s="120"/>
      <c r="E40" s="266"/>
    </row>
    <row r="41" spans="1:5" s="217" customFormat="1" ht="12" customHeight="1" thickBot="1">
      <c r="A41" s="210" t="s">
        <v>318</v>
      </c>
      <c r="B41" s="61" t="s">
        <v>319</v>
      </c>
      <c r="C41" s="49">
        <v>65194262</v>
      </c>
      <c r="D41" s="49">
        <v>66023751</v>
      </c>
      <c r="E41" s="293">
        <v>64226761</v>
      </c>
    </row>
    <row r="42" spans="1:5" s="217" customFormat="1" ht="15" customHeight="1" thickBot="1">
      <c r="A42" s="84" t="s">
        <v>15</v>
      </c>
      <c r="B42" s="85" t="s">
        <v>320</v>
      </c>
      <c r="C42" s="295">
        <f>+C37+C38</f>
        <v>68780769</v>
      </c>
      <c r="D42" s="295">
        <f>+D37+D38</f>
        <v>73110463</v>
      </c>
      <c r="E42" s="150">
        <f>+E37+E38</f>
        <v>70362718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73" t="s">
        <v>40</v>
      </c>
      <c r="B45" s="874"/>
      <c r="C45" s="874"/>
      <c r="D45" s="874"/>
      <c r="E45" s="875"/>
    </row>
    <row r="46" spans="1:5" s="218" customFormat="1" ht="12" customHeight="1" thickBot="1">
      <c r="A46" s="78" t="s">
        <v>6</v>
      </c>
      <c r="B46" s="56" t="s">
        <v>321</v>
      </c>
      <c r="C46" s="119">
        <f>SUM(C47:C51)</f>
        <v>68526769</v>
      </c>
      <c r="D46" s="119">
        <f>SUM(D47:D51)</f>
        <v>72856463</v>
      </c>
      <c r="E46" s="147">
        <f>SUM(E47:E51)</f>
        <v>68752560</v>
      </c>
    </row>
    <row r="47" spans="1:5" ht="12" customHeight="1">
      <c r="A47" s="210" t="s">
        <v>63</v>
      </c>
      <c r="B47" s="7" t="s">
        <v>35</v>
      </c>
      <c r="C47" s="271">
        <v>49769151</v>
      </c>
      <c r="D47" s="271">
        <v>51086585</v>
      </c>
      <c r="E47" s="269">
        <v>50669919</v>
      </c>
    </row>
    <row r="48" spans="1:5" ht="12" customHeight="1">
      <c r="A48" s="210" t="s">
        <v>64</v>
      </c>
      <c r="B48" s="6" t="s">
        <v>122</v>
      </c>
      <c r="C48" s="48">
        <v>8992218</v>
      </c>
      <c r="D48" s="48">
        <v>8578448</v>
      </c>
      <c r="E48" s="267">
        <v>8421321</v>
      </c>
    </row>
    <row r="49" spans="1:5" ht="12" customHeight="1">
      <c r="A49" s="210" t="s">
        <v>65</v>
      </c>
      <c r="B49" s="6" t="s">
        <v>90</v>
      </c>
      <c r="C49" s="48">
        <v>9765400</v>
      </c>
      <c r="D49" s="48">
        <v>10988588</v>
      </c>
      <c r="E49" s="267">
        <v>9661320</v>
      </c>
    </row>
    <row r="50" spans="1:5" ht="12" customHeight="1">
      <c r="A50" s="210" t="s">
        <v>66</v>
      </c>
      <c r="B50" s="6" t="s">
        <v>123</v>
      </c>
      <c r="C50" s="48"/>
      <c r="D50" s="48"/>
      <c r="E50" s="267"/>
    </row>
    <row r="51" spans="1:5" ht="12" customHeight="1" thickBot="1">
      <c r="A51" s="210" t="s">
        <v>97</v>
      </c>
      <c r="B51" s="6" t="s">
        <v>124</v>
      </c>
      <c r="C51" s="48"/>
      <c r="D51" s="48">
        <v>2202842</v>
      </c>
      <c r="E51" s="267"/>
    </row>
    <row r="52" spans="1:5" ht="12" customHeight="1" thickBot="1">
      <c r="A52" s="78" t="s">
        <v>7</v>
      </c>
      <c r="B52" s="56" t="s">
        <v>322</v>
      </c>
      <c r="C52" s="119">
        <f>SUM(C53:C55)</f>
        <v>254000</v>
      </c>
      <c r="D52" s="119">
        <f>SUM(D53:D55)</f>
        <v>254000</v>
      </c>
      <c r="E52" s="147">
        <f>SUM(E53:E55)</f>
        <v>148821</v>
      </c>
    </row>
    <row r="53" spans="1:5" s="218" customFormat="1" ht="12" customHeight="1">
      <c r="A53" s="210" t="s">
        <v>69</v>
      </c>
      <c r="B53" s="7" t="s">
        <v>143</v>
      </c>
      <c r="C53" s="271">
        <v>254000</v>
      </c>
      <c r="D53" s="271">
        <v>254000</v>
      </c>
      <c r="E53" s="269">
        <v>148821</v>
      </c>
    </row>
    <row r="54" spans="1:5" ht="12" customHeight="1">
      <c r="A54" s="210" t="s">
        <v>70</v>
      </c>
      <c r="B54" s="6" t="s">
        <v>126</v>
      </c>
      <c r="C54" s="48"/>
      <c r="D54" s="48"/>
      <c r="E54" s="267"/>
    </row>
    <row r="55" spans="1:5" ht="12" customHeight="1">
      <c r="A55" s="210" t="s">
        <v>71</v>
      </c>
      <c r="B55" s="6" t="s">
        <v>41</v>
      </c>
      <c r="C55" s="48"/>
      <c r="D55" s="48"/>
      <c r="E55" s="267"/>
    </row>
    <row r="56" spans="1:5" ht="12" customHeight="1" thickBot="1">
      <c r="A56" s="210" t="s">
        <v>72</v>
      </c>
      <c r="B56" s="6" t="s">
        <v>411</v>
      </c>
      <c r="C56" s="48"/>
      <c r="D56" s="48"/>
      <c r="E56" s="267"/>
    </row>
    <row r="57" spans="1:5" ht="12" customHeight="1" thickBot="1">
      <c r="A57" s="78" t="s">
        <v>8</v>
      </c>
      <c r="B57" s="56" t="s">
        <v>2</v>
      </c>
      <c r="C57" s="294"/>
      <c r="D57" s="294"/>
      <c r="E57" s="146"/>
    </row>
    <row r="58" spans="1:5" ht="15" customHeight="1" thickBot="1">
      <c r="A58" s="78" t="s">
        <v>9</v>
      </c>
      <c r="B58" s="90" t="s">
        <v>415</v>
      </c>
      <c r="C58" s="295">
        <f>+C46+C52+C57</f>
        <v>68780769</v>
      </c>
      <c r="D58" s="295">
        <f>+D46+D52+D57</f>
        <v>73110463</v>
      </c>
      <c r="E58" s="150">
        <f>+E46+E52+E57</f>
        <v>68901381</v>
      </c>
    </row>
    <row r="59" spans="3:5" ht="13.5" thickBot="1">
      <c r="C59" s="654">
        <f>C42-C58</f>
        <v>0</v>
      </c>
      <c r="D59" s="654">
        <f>D42-D58</f>
        <v>0</v>
      </c>
      <c r="E59" s="151"/>
    </row>
    <row r="60" spans="1:5" ht="15" customHeight="1" thickBot="1">
      <c r="A60" s="299" t="s">
        <v>486</v>
      </c>
      <c r="B60" s="300"/>
      <c r="C60" s="289">
        <v>12</v>
      </c>
      <c r="D60" s="289">
        <v>12</v>
      </c>
      <c r="E60" s="288">
        <v>11</v>
      </c>
    </row>
    <row r="61" spans="1:5" ht="14.25" customHeight="1" thickBot="1">
      <c r="A61" s="301" t="s">
        <v>487</v>
      </c>
      <c r="B61" s="302"/>
      <c r="C61" s="289"/>
      <c r="D61" s="289"/>
      <c r="E61" s="288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B1" sqref="B1:E1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1"/>
      <c r="B1" s="882" t="str">
        <f>CONCATENATE("18. melléklet ",Z_ALAPADATOK!A7," ",Z_ALAPADATOK!B7," ",Z_ALAPADATOK!C7," ",Z_ALAPADATOK!D7," ",Z_ALAPADATOK!E7," ",Z_ALAPADATOK!F7," ",Z_ALAPADATOK!G7," ",Z_ALAPADATOK!H7)</f>
        <v>18. melléklet a 8 / 2021. ( V.25 ) önkormányzati rendelethez</v>
      </c>
      <c r="C1" s="883"/>
      <c r="D1" s="883"/>
      <c r="E1" s="883"/>
    </row>
    <row r="2" spans="1:5" s="214" customFormat="1" ht="25.5" customHeight="1" thickBot="1">
      <c r="A2" s="322" t="s">
        <v>454</v>
      </c>
      <c r="B2" s="879" t="str">
        <f>CONCATENATE(Z_ALAPADATOK!B13)</f>
        <v>BEKECSI ÁMK</v>
      </c>
      <c r="C2" s="880"/>
      <c r="D2" s="881"/>
      <c r="E2" s="323" t="s">
        <v>43</v>
      </c>
    </row>
    <row r="3" spans="1:5" s="214" customFormat="1" ht="24.75" thickBot="1">
      <c r="A3" s="322" t="s">
        <v>135</v>
      </c>
      <c r="B3" s="879" t="s">
        <v>303</v>
      </c>
      <c r="C3" s="880"/>
      <c r="D3" s="881"/>
      <c r="E3" s="323" t="s">
        <v>38</v>
      </c>
    </row>
    <row r="4" spans="1:5" s="215" customFormat="1" ht="15.75" customHeight="1" thickBot="1">
      <c r="A4" s="324"/>
      <c r="B4" s="324"/>
      <c r="C4" s="325"/>
      <c r="D4" s="326"/>
      <c r="E4" s="325" t="str">
        <f>'17'!E4</f>
        <v> Forintban!</v>
      </c>
    </row>
    <row r="5" spans="1:5" ht="24.75" thickBot="1">
      <c r="A5" s="327" t="s">
        <v>136</v>
      </c>
      <c r="B5" s="328" t="s">
        <v>485</v>
      </c>
      <c r="C5" s="328" t="s">
        <v>450</v>
      </c>
      <c r="D5" s="329" t="s">
        <v>451</v>
      </c>
      <c r="E5" s="312" t="str">
        <f>CONCATENATE('17'!E5)</f>
        <v>Teljesítés
2020. XII. 31.</v>
      </c>
    </row>
    <row r="6" spans="1:5" s="216" customFormat="1" ht="12.75" customHeight="1" thickBot="1">
      <c r="A6" s="360" t="s">
        <v>386</v>
      </c>
      <c r="B6" s="361" t="s">
        <v>387</v>
      </c>
      <c r="C6" s="361" t="s">
        <v>388</v>
      </c>
      <c r="D6" s="362" t="s">
        <v>390</v>
      </c>
      <c r="E6" s="363" t="s">
        <v>389</v>
      </c>
    </row>
    <row r="7" spans="1:5" s="216" customFormat="1" ht="15.75" customHeight="1" thickBot="1">
      <c r="A7" s="873" t="s">
        <v>39</v>
      </c>
      <c r="B7" s="874"/>
      <c r="C7" s="874"/>
      <c r="D7" s="874"/>
      <c r="E7" s="875"/>
    </row>
    <row r="8" spans="1:5" s="152" customFormat="1" ht="12" customHeight="1" thickBot="1">
      <c r="A8" s="74" t="s">
        <v>6</v>
      </c>
      <c r="B8" s="83" t="s">
        <v>407</v>
      </c>
      <c r="C8" s="119">
        <f>SUM(C9:C19)</f>
        <v>16700000</v>
      </c>
      <c r="D8" s="119">
        <f>SUM(D9:D19)</f>
        <v>16700000</v>
      </c>
      <c r="E8" s="121">
        <f>SUM(E9:E19)</f>
        <v>14590820</v>
      </c>
    </row>
    <row r="9" spans="1:5" s="152" customFormat="1" ht="12" customHeight="1">
      <c r="A9" s="209" t="s">
        <v>63</v>
      </c>
      <c r="B9" s="8" t="s">
        <v>184</v>
      </c>
      <c r="C9" s="272"/>
      <c r="D9" s="272"/>
      <c r="E9" s="292"/>
    </row>
    <row r="10" spans="1:5" s="152" customFormat="1" ht="12" customHeight="1">
      <c r="A10" s="210" t="s">
        <v>64</v>
      </c>
      <c r="B10" s="6" t="s">
        <v>185</v>
      </c>
      <c r="C10" s="116">
        <v>9000000</v>
      </c>
      <c r="D10" s="259">
        <v>9000000</v>
      </c>
      <c r="E10" s="264">
        <v>8348751</v>
      </c>
    </row>
    <row r="11" spans="1:5" s="152" customFormat="1" ht="12" customHeight="1">
      <c r="A11" s="210" t="s">
        <v>65</v>
      </c>
      <c r="B11" s="6" t="s">
        <v>186</v>
      </c>
      <c r="C11" s="116"/>
      <c r="D11" s="259"/>
      <c r="E11" s="264">
        <v>7839</v>
      </c>
    </row>
    <row r="12" spans="1:5" s="152" customFormat="1" ht="12" customHeight="1">
      <c r="A12" s="210" t="s">
        <v>66</v>
      </c>
      <c r="B12" s="6" t="s">
        <v>187</v>
      </c>
      <c r="C12" s="116"/>
      <c r="D12" s="259"/>
      <c r="E12" s="264"/>
    </row>
    <row r="13" spans="1:5" s="152" customFormat="1" ht="12" customHeight="1">
      <c r="A13" s="210" t="s">
        <v>97</v>
      </c>
      <c r="B13" s="6" t="s">
        <v>188</v>
      </c>
      <c r="C13" s="116">
        <v>4000000</v>
      </c>
      <c r="D13" s="259">
        <v>4000000</v>
      </c>
      <c r="E13" s="264">
        <v>3312736</v>
      </c>
    </row>
    <row r="14" spans="1:5" s="152" customFormat="1" ht="12" customHeight="1">
      <c r="A14" s="210" t="s">
        <v>67</v>
      </c>
      <c r="B14" s="6" t="s">
        <v>305</v>
      </c>
      <c r="C14" s="116">
        <v>3700000</v>
      </c>
      <c r="D14" s="259">
        <v>3700000</v>
      </c>
      <c r="E14" s="264">
        <v>2898351</v>
      </c>
    </row>
    <row r="15" spans="1:5" s="152" customFormat="1" ht="12" customHeight="1">
      <c r="A15" s="210" t="s">
        <v>68</v>
      </c>
      <c r="B15" s="5" t="s">
        <v>306</v>
      </c>
      <c r="C15" s="116"/>
      <c r="D15" s="259"/>
      <c r="E15" s="264">
        <v>2</v>
      </c>
    </row>
    <row r="16" spans="1:5" s="152" customFormat="1" ht="12" customHeight="1">
      <c r="A16" s="210" t="s">
        <v>76</v>
      </c>
      <c r="B16" s="6" t="s">
        <v>191</v>
      </c>
      <c r="C16" s="270"/>
      <c r="D16" s="297"/>
      <c r="E16" s="268">
        <v>23138</v>
      </c>
    </row>
    <row r="17" spans="1:5" s="217" customFormat="1" ht="12" customHeight="1">
      <c r="A17" s="210" t="s">
        <v>77</v>
      </c>
      <c r="B17" s="6" t="s">
        <v>192</v>
      </c>
      <c r="C17" s="116"/>
      <c r="D17" s="259"/>
      <c r="E17" s="264"/>
    </row>
    <row r="18" spans="1:5" s="217" customFormat="1" ht="12" customHeight="1">
      <c r="A18" s="210" t="s">
        <v>78</v>
      </c>
      <c r="B18" s="6" t="s">
        <v>338</v>
      </c>
      <c r="C18" s="118"/>
      <c r="D18" s="260"/>
      <c r="E18" s="265"/>
    </row>
    <row r="19" spans="1:5" s="217" customFormat="1" ht="12" customHeight="1" thickBot="1">
      <c r="A19" s="210" t="s">
        <v>79</v>
      </c>
      <c r="B19" s="5" t="s">
        <v>193</v>
      </c>
      <c r="C19" s="118"/>
      <c r="D19" s="260"/>
      <c r="E19" s="265">
        <v>3</v>
      </c>
    </row>
    <row r="20" spans="1:5" s="152" customFormat="1" ht="12" customHeight="1" thickBot="1">
      <c r="A20" s="74" t="s">
        <v>7</v>
      </c>
      <c r="B20" s="83" t="s">
        <v>307</v>
      </c>
      <c r="C20" s="119">
        <f>SUM(C21:C23)</f>
        <v>0</v>
      </c>
      <c r="D20" s="261">
        <f>SUM(D21:D23)</f>
        <v>0</v>
      </c>
      <c r="E20" s="147">
        <f>SUM(E21:E23)</f>
        <v>0</v>
      </c>
    </row>
    <row r="21" spans="1:5" s="217" customFormat="1" ht="12" customHeight="1">
      <c r="A21" s="210" t="s">
        <v>69</v>
      </c>
      <c r="B21" s="7" t="s">
        <v>168</v>
      </c>
      <c r="C21" s="116"/>
      <c r="D21" s="259"/>
      <c r="E21" s="264"/>
    </row>
    <row r="22" spans="1:5" s="217" customFormat="1" ht="12" customHeight="1">
      <c r="A22" s="210" t="s">
        <v>70</v>
      </c>
      <c r="B22" s="6" t="s">
        <v>308</v>
      </c>
      <c r="C22" s="116"/>
      <c r="D22" s="259"/>
      <c r="E22" s="264"/>
    </row>
    <row r="23" spans="1:5" s="217" customFormat="1" ht="12" customHeight="1">
      <c r="A23" s="210" t="s">
        <v>71</v>
      </c>
      <c r="B23" s="6" t="s">
        <v>309</v>
      </c>
      <c r="C23" s="116"/>
      <c r="D23" s="259"/>
      <c r="E23" s="264"/>
    </row>
    <row r="24" spans="1:5" s="217" customFormat="1" ht="12" customHeight="1" thickBot="1">
      <c r="A24" s="210" t="s">
        <v>72</v>
      </c>
      <c r="B24" s="6" t="s">
        <v>412</v>
      </c>
      <c r="C24" s="116"/>
      <c r="D24" s="259"/>
      <c r="E24" s="264"/>
    </row>
    <row r="25" spans="1:5" s="217" customFormat="1" ht="12" customHeight="1" thickBot="1">
      <c r="A25" s="78" t="s">
        <v>8</v>
      </c>
      <c r="B25" s="56" t="s">
        <v>113</v>
      </c>
      <c r="C25" s="294"/>
      <c r="D25" s="296"/>
      <c r="E25" s="146"/>
    </row>
    <row r="26" spans="1:5" s="217" customFormat="1" ht="12" customHeight="1" thickBot="1">
      <c r="A26" s="78" t="s">
        <v>9</v>
      </c>
      <c r="B26" s="56" t="s">
        <v>310</v>
      </c>
      <c r="C26" s="119">
        <f>+C27+C28</f>
        <v>0</v>
      </c>
      <c r="D26" s="261">
        <f>+D27+D28</f>
        <v>0</v>
      </c>
      <c r="E26" s="147">
        <f>+E27+E28</f>
        <v>0</v>
      </c>
    </row>
    <row r="27" spans="1:5" s="217" customFormat="1" ht="12" customHeight="1">
      <c r="A27" s="211" t="s">
        <v>177</v>
      </c>
      <c r="B27" s="212" t="s">
        <v>308</v>
      </c>
      <c r="C27" s="271"/>
      <c r="D27" s="58"/>
      <c r="E27" s="269"/>
    </row>
    <row r="28" spans="1:5" s="217" customFormat="1" ht="12" customHeight="1">
      <c r="A28" s="211" t="s">
        <v>178</v>
      </c>
      <c r="B28" s="213" t="s">
        <v>311</v>
      </c>
      <c r="C28" s="120"/>
      <c r="D28" s="262"/>
      <c r="E28" s="266"/>
    </row>
    <row r="29" spans="1:5" s="217" customFormat="1" ht="12" customHeight="1" thickBot="1">
      <c r="A29" s="210" t="s">
        <v>179</v>
      </c>
      <c r="B29" s="61" t="s">
        <v>413</v>
      </c>
      <c r="C29" s="49"/>
      <c r="D29" s="298"/>
      <c r="E29" s="293"/>
    </row>
    <row r="30" spans="1:5" s="217" customFormat="1" ht="12" customHeight="1" thickBot="1">
      <c r="A30" s="78" t="s">
        <v>10</v>
      </c>
      <c r="B30" s="56" t="s">
        <v>312</v>
      </c>
      <c r="C30" s="119">
        <f>+C31+C32+C33</f>
        <v>0</v>
      </c>
      <c r="D30" s="261">
        <f>+D31+D32+D33</f>
        <v>0</v>
      </c>
      <c r="E30" s="147">
        <f>+E31+E32+E33</f>
        <v>0</v>
      </c>
    </row>
    <row r="31" spans="1:5" s="217" customFormat="1" ht="12" customHeight="1">
      <c r="A31" s="211" t="s">
        <v>56</v>
      </c>
      <c r="B31" s="212" t="s">
        <v>198</v>
      </c>
      <c r="C31" s="271"/>
      <c r="D31" s="58"/>
      <c r="E31" s="269"/>
    </row>
    <row r="32" spans="1:5" s="217" customFormat="1" ht="12" customHeight="1">
      <c r="A32" s="211" t="s">
        <v>57</v>
      </c>
      <c r="B32" s="213" t="s">
        <v>199</v>
      </c>
      <c r="C32" s="120"/>
      <c r="D32" s="262"/>
      <c r="E32" s="266"/>
    </row>
    <row r="33" spans="1:5" s="217" customFormat="1" ht="12" customHeight="1" thickBot="1">
      <c r="A33" s="210" t="s">
        <v>58</v>
      </c>
      <c r="B33" s="61" t="s">
        <v>200</v>
      </c>
      <c r="C33" s="49"/>
      <c r="D33" s="298"/>
      <c r="E33" s="293"/>
    </row>
    <row r="34" spans="1:5" s="152" customFormat="1" ht="12" customHeight="1" thickBot="1">
      <c r="A34" s="78" t="s">
        <v>11</v>
      </c>
      <c r="B34" s="56" t="s">
        <v>283</v>
      </c>
      <c r="C34" s="294"/>
      <c r="D34" s="296"/>
      <c r="E34" s="146"/>
    </row>
    <row r="35" spans="1:5" s="152" customFormat="1" ht="12" customHeight="1" thickBot="1">
      <c r="A35" s="78" t="s">
        <v>12</v>
      </c>
      <c r="B35" s="56" t="s">
        <v>313</v>
      </c>
      <c r="C35" s="294"/>
      <c r="D35" s="296"/>
      <c r="E35" s="146"/>
    </row>
    <row r="36" spans="1:5" s="152" customFormat="1" ht="12" customHeight="1" thickBot="1">
      <c r="A36" s="74" t="s">
        <v>13</v>
      </c>
      <c r="B36" s="56" t="s">
        <v>414</v>
      </c>
      <c r="C36" s="119">
        <f>+C8+C20+C25+C26+C30+C34+C35</f>
        <v>16700000</v>
      </c>
      <c r="D36" s="261">
        <f>+D8+D20+D25+D26+D30+D34+D35</f>
        <v>16700000</v>
      </c>
      <c r="E36" s="147">
        <f>+E8+E20+E25+E26+E30+E34+E35</f>
        <v>14590820</v>
      </c>
    </row>
    <row r="37" spans="1:5" s="152" customFormat="1" ht="12" customHeight="1" thickBot="1">
      <c r="A37" s="84" t="s">
        <v>14</v>
      </c>
      <c r="B37" s="56" t="s">
        <v>315</v>
      </c>
      <c r="C37" s="119">
        <f>+C38+C39+C40</f>
        <v>149775560</v>
      </c>
      <c r="D37" s="261">
        <f>+D38+D39+D40</f>
        <v>145440060</v>
      </c>
      <c r="E37" s="147">
        <f>+E38+E39+E40</f>
        <v>137186186</v>
      </c>
    </row>
    <row r="38" spans="1:5" s="152" customFormat="1" ht="12" customHeight="1">
      <c r="A38" s="211" t="s">
        <v>316</v>
      </c>
      <c r="B38" s="212" t="s">
        <v>150</v>
      </c>
      <c r="C38" s="271">
        <v>23870393</v>
      </c>
      <c r="D38" s="58">
        <v>13209358</v>
      </c>
      <c r="E38" s="269">
        <v>12508647</v>
      </c>
    </row>
    <row r="39" spans="1:5" s="152" customFormat="1" ht="12" customHeight="1">
      <c r="A39" s="211" t="s">
        <v>317</v>
      </c>
      <c r="B39" s="213" t="s">
        <v>0</v>
      </c>
      <c r="C39" s="120"/>
      <c r="D39" s="262"/>
      <c r="E39" s="266"/>
    </row>
    <row r="40" spans="1:5" s="217" customFormat="1" ht="12" customHeight="1" thickBot="1">
      <c r="A40" s="210" t="s">
        <v>318</v>
      </c>
      <c r="B40" s="61" t="s">
        <v>319</v>
      </c>
      <c r="C40" s="49">
        <v>125905167</v>
      </c>
      <c r="D40" s="298">
        <v>132230702</v>
      </c>
      <c r="E40" s="293">
        <v>124677539</v>
      </c>
    </row>
    <row r="41" spans="1:5" s="217" customFormat="1" ht="15" customHeight="1" thickBot="1">
      <c r="A41" s="84" t="s">
        <v>15</v>
      </c>
      <c r="B41" s="85" t="s">
        <v>320</v>
      </c>
      <c r="C41" s="295">
        <f>+C36+C37</f>
        <v>166475560</v>
      </c>
      <c r="D41" s="291">
        <f>+D36+D37</f>
        <v>162140060</v>
      </c>
      <c r="E41" s="150">
        <f>+E36+E37</f>
        <v>151777006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73" t="s">
        <v>40</v>
      </c>
      <c r="B44" s="874"/>
      <c r="C44" s="874"/>
      <c r="D44" s="874"/>
      <c r="E44" s="875"/>
    </row>
    <row r="45" spans="1:5" s="218" customFormat="1" ht="12" customHeight="1" thickBot="1">
      <c r="A45" s="78" t="s">
        <v>6</v>
      </c>
      <c r="B45" s="56" t="s">
        <v>321</v>
      </c>
      <c r="C45" s="119">
        <f>SUM(C46:C50)</f>
        <v>164520560</v>
      </c>
      <c r="D45" s="261">
        <f>SUM(D46:D50)</f>
        <v>160185060</v>
      </c>
      <c r="E45" s="147">
        <f>SUM(E46:E50)</f>
        <v>143963235</v>
      </c>
    </row>
    <row r="46" spans="1:5" ht="12" customHeight="1">
      <c r="A46" s="210" t="s">
        <v>63</v>
      </c>
      <c r="B46" s="7" t="s">
        <v>35</v>
      </c>
      <c r="C46" s="271">
        <v>87996860</v>
      </c>
      <c r="D46" s="58">
        <v>87996860</v>
      </c>
      <c r="E46" s="269">
        <v>84198345</v>
      </c>
    </row>
    <row r="47" spans="1:5" ht="12" customHeight="1">
      <c r="A47" s="210" t="s">
        <v>64</v>
      </c>
      <c r="B47" s="6" t="s">
        <v>122</v>
      </c>
      <c r="C47" s="48">
        <v>17160725</v>
      </c>
      <c r="D47" s="59">
        <v>17135225</v>
      </c>
      <c r="E47" s="267">
        <v>14812587</v>
      </c>
    </row>
    <row r="48" spans="1:5" ht="12" customHeight="1">
      <c r="A48" s="210" t="s">
        <v>65</v>
      </c>
      <c r="B48" s="6" t="s">
        <v>90</v>
      </c>
      <c r="C48" s="48">
        <v>59362975</v>
      </c>
      <c r="D48" s="59">
        <v>55052975</v>
      </c>
      <c r="E48" s="267">
        <v>44952303</v>
      </c>
    </row>
    <row r="49" spans="1:5" ht="12" customHeight="1">
      <c r="A49" s="210" t="s">
        <v>66</v>
      </c>
      <c r="B49" s="6" t="s">
        <v>123</v>
      </c>
      <c r="C49" s="48"/>
      <c r="D49" s="59"/>
      <c r="E49" s="267"/>
    </row>
    <row r="50" spans="1:5" ht="12" customHeight="1" thickBot="1">
      <c r="A50" s="210" t="s">
        <v>97</v>
      </c>
      <c r="B50" s="6" t="s">
        <v>124</v>
      </c>
      <c r="C50" s="48"/>
      <c r="D50" s="59"/>
      <c r="E50" s="267"/>
    </row>
    <row r="51" spans="1:5" ht="12" customHeight="1" thickBot="1">
      <c r="A51" s="78" t="s">
        <v>7</v>
      </c>
      <c r="B51" s="56" t="s">
        <v>322</v>
      </c>
      <c r="C51" s="119">
        <f>SUM(C52:C54)</f>
        <v>1955000</v>
      </c>
      <c r="D51" s="261">
        <f>SUM(D52:D54)</f>
        <v>1955000</v>
      </c>
      <c r="E51" s="147">
        <f>SUM(E52:E54)</f>
        <v>1381398</v>
      </c>
    </row>
    <row r="52" spans="1:5" s="218" customFormat="1" ht="12" customHeight="1">
      <c r="A52" s="210" t="s">
        <v>69</v>
      </c>
      <c r="B52" s="7" t="s">
        <v>143</v>
      </c>
      <c r="C52" s="271">
        <v>1955000</v>
      </c>
      <c r="D52" s="58">
        <v>1955000</v>
      </c>
      <c r="E52" s="269">
        <v>1381398</v>
      </c>
    </row>
    <row r="53" spans="1:5" ht="12" customHeight="1">
      <c r="A53" s="210" t="s">
        <v>70</v>
      </c>
      <c r="B53" s="6" t="s">
        <v>126</v>
      </c>
      <c r="C53" s="48"/>
      <c r="D53" s="59"/>
      <c r="E53" s="267"/>
    </row>
    <row r="54" spans="1:5" ht="12" customHeight="1">
      <c r="A54" s="210" t="s">
        <v>71</v>
      </c>
      <c r="B54" s="6" t="s">
        <v>41</v>
      </c>
      <c r="C54" s="48"/>
      <c r="D54" s="59"/>
      <c r="E54" s="267"/>
    </row>
    <row r="55" spans="1:5" ht="12" customHeight="1" thickBot="1">
      <c r="A55" s="210" t="s">
        <v>72</v>
      </c>
      <c r="B55" s="6" t="s">
        <v>411</v>
      </c>
      <c r="C55" s="48"/>
      <c r="D55" s="59"/>
      <c r="E55" s="267"/>
    </row>
    <row r="56" spans="1:5" ht="15" customHeight="1" thickBot="1">
      <c r="A56" s="78" t="s">
        <v>8</v>
      </c>
      <c r="B56" s="56" t="s">
        <v>2</v>
      </c>
      <c r="C56" s="294"/>
      <c r="D56" s="296"/>
      <c r="E56" s="146"/>
    </row>
    <row r="57" spans="1:5" ht="13.5" thickBot="1">
      <c r="A57" s="78" t="s">
        <v>9</v>
      </c>
      <c r="B57" s="90" t="s">
        <v>415</v>
      </c>
      <c r="C57" s="295">
        <f>+C45+C51+C56</f>
        <v>166475560</v>
      </c>
      <c r="D57" s="291">
        <f>+D45+D51+D56</f>
        <v>162140060</v>
      </c>
      <c r="E57" s="150">
        <f>+E45+E51+E56</f>
        <v>145344633</v>
      </c>
    </row>
    <row r="58" spans="3:4" ht="15" customHeight="1" thickBot="1">
      <c r="C58" s="654">
        <f>C41-C57</f>
        <v>0</v>
      </c>
      <c r="D58" s="654">
        <f>D41-D57</f>
        <v>0</v>
      </c>
    </row>
    <row r="59" spans="1:5" ht="14.25" customHeight="1" thickBot="1">
      <c r="A59" s="299" t="s">
        <v>486</v>
      </c>
      <c r="B59" s="300"/>
      <c r="C59" s="289">
        <v>26</v>
      </c>
      <c r="D59" s="289">
        <v>26</v>
      </c>
      <c r="E59" s="288">
        <v>25</v>
      </c>
    </row>
    <row r="60" spans="1:5" ht="13.5" thickBot="1">
      <c r="A60" s="301" t="s">
        <v>487</v>
      </c>
      <c r="B60" s="302"/>
      <c r="C60" s="289"/>
      <c r="D60" s="289"/>
      <c r="E60" s="28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B1" sqref="B1:E1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1"/>
      <c r="B1" s="882" t="str">
        <f>CONCATENATE("19. melléklet ",Z_ALAPADATOK!A7," ",Z_ALAPADATOK!B7," ",Z_ALAPADATOK!C7," ",Z_ALAPADATOK!D7," ",Z_ALAPADATOK!E7," ",Z_ALAPADATOK!F7," ",Z_ALAPADATOK!G7," ",Z_ALAPADATOK!H7)</f>
        <v>19. melléklet a 8 / 2021. ( V.25 ) önkormányzati rendelethez</v>
      </c>
      <c r="C1" s="883"/>
      <c r="D1" s="883"/>
      <c r="E1" s="883"/>
    </row>
    <row r="2" spans="1:5" s="214" customFormat="1" ht="25.5" customHeight="1" thickBot="1">
      <c r="A2" s="322" t="s">
        <v>454</v>
      </c>
      <c r="B2" s="879" t="str">
        <f>CONCATENATE('18'!B2:D2)</f>
        <v>BEKECSI ÁMK</v>
      </c>
      <c r="C2" s="880"/>
      <c r="D2" s="881"/>
      <c r="E2" s="323" t="s">
        <v>43</v>
      </c>
    </row>
    <row r="3" spans="1:5" s="214" customFormat="1" ht="24.75" thickBot="1">
      <c r="A3" s="322" t="s">
        <v>135</v>
      </c>
      <c r="B3" s="879" t="s">
        <v>323</v>
      </c>
      <c r="C3" s="880"/>
      <c r="D3" s="881"/>
      <c r="E3" s="323" t="s">
        <v>42</v>
      </c>
    </row>
    <row r="4" spans="1:5" s="215" customFormat="1" ht="15.75" customHeight="1" thickBot="1">
      <c r="A4" s="324"/>
      <c r="B4" s="324"/>
      <c r="C4" s="325"/>
      <c r="D4" s="326"/>
      <c r="E4" s="325" t="str">
        <f>'18'!E4</f>
        <v> Forintban!</v>
      </c>
    </row>
    <row r="5" spans="1:5" ht="24.75" thickBot="1">
      <c r="A5" s="327" t="s">
        <v>136</v>
      </c>
      <c r="B5" s="328" t="s">
        <v>485</v>
      </c>
      <c r="C5" s="328" t="s">
        <v>450</v>
      </c>
      <c r="D5" s="329" t="s">
        <v>451</v>
      </c>
      <c r="E5" s="312" t="str">
        <f>CONCATENATE('18'!E5)</f>
        <v>Teljesítés
2020. XII. 31.</v>
      </c>
    </row>
    <row r="6" spans="1:5" s="216" customFormat="1" ht="12.75" customHeight="1" thickBot="1">
      <c r="A6" s="360" t="s">
        <v>386</v>
      </c>
      <c r="B6" s="361" t="s">
        <v>387</v>
      </c>
      <c r="C6" s="361" t="s">
        <v>388</v>
      </c>
      <c r="D6" s="362" t="s">
        <v>390</v>
      </c>
      <c r="E6" s="363" t="s">
        <v>389</v>
      </c>
    </row>
    <row r="7" spans="1:5" s="216" customFormat="1" ht="15.75" customHeight="1" thickBot="1">
      <c r="A7" s="873" t="s">
        <v>39</v>
      </c>
      <c r="B7" s="874"/>
      <c r="C7" s="874"/>
      <c r="D7" s="874"/>
      <c r="E7" s="875"/>
    </row>
    <row r="8" spans="1:5" s="152" customFormat="1" ht="12" customHeight="1" thickBot="1">
      <c r="A8" s="74" t="s">
        <v>6</v>
      </c>
      <c r="B8" s="83" t="s">
        <v>407</v>
      </c>
      <c r="C8" s="119">
        <f>SUM(C9:C19)</f>
        <v>16700000</v>
      </c>
      <c r="D8" s="119">
        <f>SUM(D9:D19)</f>
        <v>16700000</v>
      </c>
      <c r="E8" s="121">
        <f>SUM(E9:E19)</f>
        <v>14590820</v>
      </c>
    </row>
    <row r="9" spans="1:5" s="152" customFormat="1" ht="12" customHeight="1">
      <c r="A9" s="209" t="s">
        <v>63</v>
      </c>
      <c r="B9" s="8" t="s">
        <v>184</v>
      </c>
      <c r="C9" s="272"/>
      <c r="D9" s="272"/>
      <c r="E9" s="292"/>
    </row>
    <row r="10" spans="1:5" s="152" customFormat="1" ht="12" customHeight="1">
      <c r="A10" s="210" t="s">
        <v>64</v>
      </c>
      <c r="B10" s="6" t="s">
        <v>185</v>
      </c>
      <c r="C10" s="116">
        <v>9000000</v>
      </c>
      <c r="D10" s="259">
        <v>9000000</v>
      </c>
      <c r="E10" s="264">
        <v>8348751</v>
      </c>
    </row>
    <row r="11" spans="1:5" s="152" customFormat="1" ht="12" customHeight="1">
      <c r="A11" s="210" t="s">
        <v>65</v>
      </c>
      <c r="B11" s="6" t="s">
        <v>186</v>
      </c>
      <c r="C11" s="116"/>
      <c r="D11" s="259"/>
      <c r="E11" s="264">
        <v>7839</v>
      </c>
    </row>
    <row r="12" spans="1:5" s="152" customFormat="1" ht="12" customHeight="1">
      <c r="A12" s="210" t="s">
        <v>66</v>
      </c>
      <c r="B12" s="6" t="s">
        <v>187</v>
      </c>
      <c r="C12" s="116"/>
      <c r="D12" s="259"/>
      <c r="E12" s="264"/>
    </row>
    <row r="13" spans="1:5" s="152" customFormat="1" ht="12" customHeight="1">
      <c r="A13" s="210" t="s">
        <v>97</v>
      </c>
      <c r="B13" s="6" t="s">
        <v>188</v>
      </c>
      <c r="C13" s="116">
        <v>4000000</v>
      </c>
      <c r="D13" s="259">
        <v>4000000</v>
      </c>
      <c r="E13" s="264">
        <v>3312736</v>
      </c>
    </row>
    <row r="14" spans="1:5" s="152" customFormat="1" ht="12" customHeight="1">
      <c r="A14" s="210" t="s">
        <v>67</v>
      </c>
      <c r="B14" s="6" t="s">
        <v>305</v>
      </c>
      <c r="C14" s="116">
        <v>3700000</v>
      </c>
      <c r="D14" s="259">
        <v>3700000</v>
      </c>
      <c r="E14" s="264">
        <v>2898351</v>
      </c>
    </row>
    <row r="15" spans="1:5" s="152" customFormat="1" ht="12" customHeight="1">
      <c r="A15" s="210" t="s">
        <v>68</v>
      </c>
      <c r="B15" s="5" t="s">
        <v>306</v>
      </c>
      <c r="C15" s="116"/>
      <c r="D15" s="259"/>
      <c r="E15" s="264">
        <v>2</v>
      </c>
    </row>
    <row r="16" spans="1:5" s="152" customFormat="1" ht="12" customHeight="1">
      <c r="A16" s="210" t="s">
        <v>76</v>
      </c>
      <c r="B16" s="6" t="s">
        <v>191</v>
      </c>
      <c r="C16" s="270"/>
      <c r="D16" s="297"/>
      <c r="E16" s="268">
        <v>23138</v>
      </c>
    </row>
    <row r="17" spans="1:5" s="217" customFormat="1" ht="12" customHeight="1">
      <c r="A17" s="210" t="s">
        <v>77</v>
      </c>
      <c r="B17" s="6" t="s">
        <v>192</v>
      </c>
      <c r="C17" s="116"/>
      <c r="D17" s="259"/>
      <c r="E17" s="264"/>
    </row>
    <row r="18" spans="1:5" s="217" customFormat="1" ht="12" customHeight="1">
      <c r="A18" s="210" t="s">
        <v>78</v>
      </c>
      <c r="B18" s="6" t="s">
        <v>338</v>
      </c>
      <c r="C18" s="118"/>
      <c r="D18" s="260"/>
      <c r="E18" s="265"/>
    </row>
    <row r="19" spans="1:5" s="217" customFormat="1" ht="12" customHeight="1" thickBot="1">
      <c r="A19" s="210" t="s">
        <v>79</v>
      </c>
      <c r="B19" s="5" t="s">
        <v>193</v>
      </c>
      <c r="C19" s="118"/>
      <c r="D19" s="260"/>
      <c r="E19" s="265">
        <v>3</v>
      </c>
    </row>
    <row r="20" spans="1:5" s="152" customFormat="1" ht="12" customHeight="1" thickBot="1">
      <c r="A20" s="74" t="s">
        <v>7</v>
      </c>
      <c r="B20" s="83" t="s">
        <v>307</v>
      </c>
      <c r="C20" s="119">
        <f>SUM(C21:C23)</f>
        <v>0</v>
      </c>
      <c r="D20" s="261">
        <f>SUM(D21:D23)</f>
        <v>0</v>
      </c>
      <c r="E20" s="147">
        <f>SUM(E21:E23)</f>
        <v>0</v>
      </c>
    </row>
    <row r="21" spans="1:5" s="217" customFormat="1" ht="12" customHeight="1">
      <c r="A21" s="210" t="s">
        <v>69</v>
      </c>
      <c r="B21" s="7" t="s">
        <v>168</v>
      </c>
      <c r="C21" s="116"/>
      <c r="D21" s="259"/>
      <c r="E21" s="264"/>
    </row>
    <row r="22" spans="1:5" s="217" customFormat="1" ht="12" customHeight="1">
      <c r="A22" s="210" t="s">
        <v>70</v>
      </c>
      <c r="B22" s="6" t="s">
        <v>308</v>
      </c>
      <c r="C22" s="116"/>
      <c r="D22" s="259"/>
      <c r="E22" s="264"/>
    </row>
    <row r="23" spans="1:5" s="217" customFormat="1" ht="12" customHeight="1">
      <c r="A23" s="210" t="s">
        <v>71</v>
      </c>
      <c r="B23" s="6" t="s">
        <v>309</v>
      </c>
      <c r="C23" s="116"/>
      <c r="D23" s="259"/>
      <c r="E23" s="264"/>
    </row>
    <row r="24" spans="1:5" s="217" customFormat="1" ht="12" customHeight="1" thickBot="1">
      <c r="A24" s="210" t="s">
        <v>72</v>
      </c>
      <c r="B24" s="6" t="s">
        <v>412</v>
      </c>
      <c r="C24" s="116"/>
      <c r="D24" s="259"/>
      <c r="E24" s="264"/>
    </row>
    <row r="25" spans="1:5" s="217" customFormat="1" ht="12" customHeight="1" thickBot="1">
      <c r="A25" s="78" t="s">
        <v>8</v>
      </c>
      <c r="B25" s="56" t="s">
        <v>113</v>
      </c>
      <c r="C25" s="294"/>
      <c r="D25" s="296"/>
      <c r="E25" s="146"/>
    </row>
    <row r="26" spans="1:5" s="217" customFormat="1" ht="12" customHeight="1" thickBot="1">
      <c r="A26" s="78" t="s">
        <v>9</v>
      </c>
      <c r="B26" s="56" t="s">
        <v>310</v>
      </c>
      <c r="C26" s="119">
        <f>+C27+C28</f>
        <v>0</v>
      </c>
      <c r="D26" s="261">
        <f>+D27+D28</f>
        <v>0</v>
      </c>
      <c r="E26" s="147">
        <f>+E27+E28</f>
        <v>0</v>
      </c>
    </row>
    <row r="27" spans="1:5" s="217" customFormat="1" ht="12" customHeight="1">
      <c r="A27" s="211" t="s">
        <v>177</v>
      </c>
      <c r="B27" s="212" t="s">
        <v>308</v>
      </c>
      <c r="C27" s="271"/>
      <c r="D27" s="58"/>
      <c r="E27" s="269"/>
    </row>
    <row r="28" spans="1:5" s="217" customFormat="1" ht="12" customHeight="1">
      <c r="A28" s="211" t="s">
        <v>178</v>
      </c>
      <c r="B28" s="213" t="s">
        <v>311</v>
      </c>
      <c r="C28" s="120"/>
      <c r="D28" s="262"/>
      <c r="E28" s="266"/>
    </row>
    <row r="29" spans="1:5" s="217" customFormat="1" ht="12" customHeight="1" thickBot="1">
      <c r="A29" s="210" t="s">
        <v>179</v>
      </c>
      <c r="B29" s="61" t="s">
        <v>413</v>
      </c>
      <c r="C29" s="49"/>
      <c r="D29" s="298"/>
      <c r="E29" s="293"/>
    </row>
    <row r="30" spans="1:5" s="217" customFormat="1" ht="12" customHeight="1" thickBot="1">
      <c r="A30" s="78" t="s">
        <v>10</v>
      </c>
      <c r="B30" s="56" t="s">
        <v>312</v>
      </c>
      <c r="C30" s="119">
        <f>+C31+C32+C33</f>
        <v>0</v>
      </c>
      <c r="D30" s="261">
        <f>+D31+D32+D33</f>
        <v>0</v>
      </c>
      <c r="E30" s="147">
        <f>+E31+E32+E33</f>
        <v>0</v>
      </c>
    </row>
    <row r="31" spans="1:5" s="217" customFormat="1" ht="12" customHeight="1">
      <c r="A31" s="211" t="s">
        <v>56</v>
      </c>
      <c r="B31" s="212" t="s">
        <v>198</v>
      </c>
      <c r="C31" s="271"/>
      <c r="D31" s="58"/>
      <c r="E31" s="269"/>
    </row>
    <row r="32" spans="1:5" s="217" customFormat="1" ht="12" customHeight="1">
      <c r="A32" s="211" t="s">
        <v>57</v>
      </c>
      <c r="B32" s="213" t="s">
        <v>199</v>
      </c>
      <c r="C32" s="120"/>
      <c r="D32" s="262"/>
      <c r="E32" s="266"/>
    </row>
    <row r="33" spans="1:5" s="217" customFormat="1" ht="12" customHeight="1" thickBot="1">
      <c r="A33" s="210" t="s">
        <v>58</v>
      </c>
      <c r="B33" s="61" t="s">
        <v>200</v>
      </c>
      <c r="C33" s="49"/>
      <c r="D33" s="298"/>
      <c r="E33" s="293"/>
    </row>
    <row r="34" spans="1:5" s="152" customFormat="1" ht="12" customHeight="1" thickBot="1">
      <c r="A34" s="78" t="s">
        <v>11</v>
      </c>
      <c r="B34" s="56" t="s">
        <v>283</v>
      </c>
      <c r="C34" s="294"/>
      <c r="D34" s="296"/>
      <c r="E34" s="146"/>
    </row>
    <row r="35" spans="1:5" s="152" customFormat="1" ht="12" customHeight="1" thickBot="1">
      <c r="A35" s="78" t="s">
        <v>12</v>
      </c>
      <c r="B35" s="56" t="s">
        <v>313</v>
      </c>
      <c r="C35" s="294"/>
      <c r="D35" s="296"/>
      <c r="E35" s="146"/>
    </row>
    <row r="36" spans="1:5" s="152" customFormat="1" ht="12" customHeight="1" thickBot="1">
      <c r="A36" s="74" t="s">
        <v>13</v>
      </c>
      <c r="B36" s="56" t="s">
        <v>414</v>
      </c>
      <c r="C36" s="119">
        <f>+C8+C20+C25+C26+C30+C34+C35</f>
        <v>16700000</v>
      </c>
      <c r="D36" s="261">
        <f>+D8+D20+D25+D26+D30+D34+D35</f>
        <v>16700000</v>
      </c>
      <c r="E36" s="147">
        <f>+E8+E20+E25+E26+E30+E34+E35</f>
        <v>14590820</v>
      </c>
    </row>
    <row r="37" spans="1:5" s="152" customFormat="1" ht="12" customHeight="1" thickBot="1">
      <c r="A37" s="84" t="s">
        <v>14</v>
      </c>
      <c r="B37" s="56" t="s">
        <v>315</v>
      </c>
      <c r="C37" s="119">
        <f>+C38+C39+C40</f>
        <v>149775560</v>
      </c>
      <c r="D37" s="261">
        <f>+D38+D39+D40</f>
        <v>145440060</v>
      </c>
      <c r="E37" s="147">
        <f>+E38+E39+E40</f>
        <v>137186186</v>
      </c>
    </row>
    <row r="38" spans="1:5" s="152" customFormat="1" ht="12" customHeight="1">
      <c r="A38" s="211" t="s">
        <v>316</v>
      </c>
      <c r="B38" s="212" t="s">
        <v>150</v>
      </c>
      <c r="C38" s="271">
        <v>23870393</v>
      </c>
      <c r="D38" s="58">
        <v>13209358</v>
      </c>
      <c r="E38" s="269">
        <v>12508647</v>
      </c>
    </row>
    <row r="39" spans="1:5" s="152" customFormat="1" ht="12" customHeight="1">
      <c r="A39" s="211" t="s">
        <v>317</v>
      </c>
      <c r="B39" s="213" t="s">
        <v>0</v>
      </c>
      <c r="C39" s="120"/>
      <c r="D39" s="262"/>
      <c r="E39" s="266"/>
    </row>
    <row r="40" spans="1:5" s="217" customFormat="1" ht="12" customHeight="1" thickBot="1">
      <c r="A40" s="210" t="s">
        <v>318</v>
      </c>
      <c r="B40" s="61" t="s">
        <v>319</v>
      </c>
      <c r="C40" s="49">
        <v>125905167</v>
      </c>
      <c r="D40" s="298">
        <v>132230702</v>
      </c>
      <c r="E40" s="293">
        <v>124677539</v>
      </c>
    </row>
    <row r="41" spans="1:5" s="217" customFormat="1" ht="15" customHeight="1" thickBot="1">
      <c r="A41" s="84" t="s">
        <v>15</v>
      </c>
      <c r="B41" s="85" t="s">
        <v>320</v>
      </c>
      <c r="C41" s="295">
        <f>+C36+C37</f>
        <v>166475560</v>
      </c>
      <c r="D41" s="291">
        <f>+D36+D37</f>
        <v>162140060</v>
      </c>
      <c r="E41" s="150">
        <f>+E36+E37</f>
        <v>151777006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73" t="s">
        <v>40</v>
      </c>
      <c r="B44" s="874"/>
      <c r="C44" s="874"/>
      <c r="D44" s="874"/>
      <c r="E44" s="875"/>
    </row>
    <row r="45" spans="1:5" s="218" customFormat="1" ht="12" customHeight="1" thickBot="1">
      <c r="A45" s="78" t="s">
        <v>6</v>
      </c>
      <c r="B45" s="56" t="s">
        <v>321</v>
      </c>
      <c r="C45" s="119">
        <f>SUM(C46:C50)</f>
        <v>164520560</v>
      </c>
      <c r="D45" s="261">
        <f>SUM(D46:D50)</f>
        <v>160185060</v>
      </c>
      <c r="E45" s="147">
        <f>SUM(E46:E50)</f>
        <v>143963235</v>
      </c>
    </row>
    <row r="46" spans="1:5" ht="12" customHeight="1">
      <c r="A46" s="210" t="s">
        <v>63</v>
      </c>
      <c r="B46" s="7" t="s">
        <v>35</v>
      </c>
      <c r="C46" s="271">
        <v>87996860</v>
      </c>
      <c r="D46" s="58">
        <v>87996860</v>
      </c>
      <c r="E46" s="269">
        <v>84198345</v>
      </c>
    </row>
    <row r="47" spans="1:5" ht="12" customHeight="1">
      <c r="A47" s="210" t="s">
        <v>64</v>
      </c>
      <c r="B47" s="6" t="s">
        <v>122</v>
      </c>
      <c r="C47" s="48">
        <v>17160725</v>
      </c>
      <c r="D47" s="59">
        <v>17135225</v>
      </c>
      <c r="E47" s="267">
        <v>14812587</v>
      </c>
    </row>
    <row r="48" spans="1:5" ht="12" customHeight="1">
      <c r="A48" s="210" t="s">
        <v>65</v>
      </c>
      <c r="B48" s="6" t="s">
        <v>90</v>
      </c>
      <c r="C48" s="48">
        <v>59362975</v>
      </c>
      <c r="D48" s="59">
        <v>55052975</v>
      </c>
      <c r="E48" s="267">
        <v>44952303</v>
      </c>
    </row>
    <row r="49" spans="1:5" ht="12" customHeight="1">
      <c r="A49" s="210" t="s">
        <v>66</v>
      </c>
      <c r="B49" s="6" t="s">
        <v>123</v>
      </c>
      <c r="C49" s="48"/>
      <c r="D49" s="59"/>
      <c r="E49" s="267"/>
    </row>
    <row r="50" spans="1:5" ht="12" customHeight="1" thickBot="1">
      <c r="A50" s="210" t="s">
        <v>97</v>
      </c>
      <c r="B50" s="6" t="s">
        <v>124</v>
      </c>
      <c r="C50" s="48"/>
      <c r="D50" s="59"/>
      <c r="E50" s="267"/>
    </row>
    <row r="51" spans="1:5" ht="12" customHeight="1" thickBot="1">
      <c r="A51" s="78" t="s">
        <v>7</v>
      </c>
      <c r="B51" s="56" t="s">
        <v>322</v>
      </c>
      <c r="C51" s="119">
        <f>SUM(C52:C54)</f>
        <v>1955000</v>
      </c>
      <c r="D51" s="261">
        <f>SUM(D52:D54)</f>
        <v>1955000</v>
      </c>
      <c r="E51" s="147">
        <f>SUM(E52:E54)</f>
        <v>1381398</v>
      </c>
    </row>
    <row r="52" spans="1:5" s="218" customFormat="1" ht="12" customHeight="1">
      <c r="A52" s="210" t="s">
        <v>69</v>
      </c>
      <c r="B52" s="7" t="s">
        <v>143</v>
      </c>
      <c r="C52" s="271">
        <v>1955000</v>
      </c>
      <c r="D52" s="58">
        <v>1955000</v>
      </c>
      <c r="E52" s="269">
        <v>1381398</v>
      </c>
    </row>
    <row r="53" spans="1:5" ht="12" customHeight="1">
      <c r="A53" s="210" t="s">
        <v>70</v>
      </c>
      <c r="B53" s="6" t="s">
        <v>126</v>
      </c>
      <c r="C53" s="48"/>
      <c r="D53" s="59"/>
      <c r="E53" s="267"/>
    </row>
    <row r="54" spans="1:5" ht="12" customHeight="1">
      <c r="A54" s="210" t="s">
        <v>71</v>
      </c>
      <c r="B54" s="6" t="s">
        <v>41</v>
      </c>
      <c r="C54" s="48"/>
      <c r="D54" s="59"/>
      <c r="E54" s="267"/>
    </row>
    <row r="55" spans="1:5" ht="12" customHeight="1" thickBot="1">
      <c r="A55" s="210" t="s">
        <v>72</v>
      </c>
      <c r="B55" s="6" t="s">
        <v>411</v>
      </c>
      <c r="C55" s="48"/>
      <c r="D55" s="59"/>
      <c r="E55" s="267"/>
    </row>
    <row r="56" spans="1:5" ht="15" customHeight="1" thickBot="1">
      <c r="A56" s="78" t="s">
        <v>8</v>
      </c>
      <c r="B56" s="56" t="s">
        <v>2</v>
      </c>
      <c r="C56" s="294"/>
      <c r="D56" s="296"/>
      <c r="E56" s="146"/>
    </row>
    <row r="57" spans="1:5" ht="13.5" thickBot="1">
      <c r="A57" s="78" t="s">
        <v>9</v>
      </c>
      <c r="B57" s="90" t="s">
        <v>415</v>
      </c>
      <c r="C57" s="295">
        <f>+C45+C51+C56</f>
        <v>166475560</v>
      </c>
      <c r="D57" s="291">
        <f>+D45+D51+D56</f>
        <v>162140060</v>
      </c>
      <c r="E57" s="150">
        <f>+E45+E51+E56</f>
        <v>145344633</v>
      </c>
    </row>
    <row r="58" spans="3:4" ht="15" customHeight="1" thickBot="1">
      <c r="C58" s="654">
        <f>C41-C57</f>
        <v>0</v>
      </c>
      <c r="D58" s="654">
        <f>D41-D57</f>
        <v>0</v>
      </c>
    </row>
    <row r="59" spans="1:5" ht="14.25" customHeight="1" thickBot="1">
      <c r="A59" s="299" t="s">
        <v>486</v>
      </c>
      <c r="B59" s="300"/>
      <c r="C59" s="289">
        <v>26</v>
      </c>
      <c r="D59" s="289">
        <v>26</v>
      </c>
      <c r="E59" s="288">
        <v>25</v>
      </c>
    </row>
    <row r="60" spans="1:5" ht="13.5" thickBot="1">
      <c r="A60" s="301" t="s">
        <v>487</v>
      </c>
      <c r="B60" s="302"/>
      <c r="C60" s="289"/>
      <c r="D60" s="289"/>
      <c r="E60" s="28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B1" sqref="B1:E1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1"/>
      <c r="B1" s="882" t="str">
        <f>CONCATENATE("20. melléklet ",Z_ALAPADATOK!A7," ",Z_ALAPADATOK!B7," ",Z_ALAPADATOK!C7," ",Z_ALAPADATOK!D7," ",Z_ALAPADATOK!E7," ",Z_ALAPADATOK!F7," ",Z_ALAPADATOK!G7," ",Z_ALAPADATOK!H7)</f>
        <v>20. melléklet a 8 / 2021. ( V.25 ) önkormányzati rendelethez</v>
      </c>
      <c r="C1" s="883"/>
      <c r="D1" s="883"/>
      <c r="E1" s="883"/>
    </row>
    <row r="2" spans="1:5" s="214" customFormat="1" ht="25.5" customHeight="1" thickBot="1">
      <c r="A2" s="322" t="s">
        <v>454</v>
      </c>
      <c r="B2" s="879" t="str">
        <f>CONCATENATE('19'!B2:D2)</f>
        <v>BEKECSI ÁMK</v>
      </c>
      <c r="C2" s="880"/>
      <c r="D2" s="881"/>
      <c r="E2" s="323" t="s">
        <v>43</v>
      </c>
    </row>
    <row r="3" spans="1:5" s="214" customFormat="1" ht="24.75" thickBot="1">
      <c r="A3" s="322" t="s">
        <v>135</v>
      </c>
      <c r="B3" s="879" t="s">
        <v>324</v>
      </c>
      <c r="C3" s="880"/>
      <c r="D3" s="881"/>
      <c r="E3" s="323" t="s">
        <v>43</v>
      </c>
    </row>
    <row r="4" spans="1:5" s="215" customFormat="1" ht="15.75" customHeight="1" thickBot="1">
      <c r="A4" s="324"/>
      <c r="B4" s="324"/>
      <c r="C4" s="325"/>
      <c r="D4" s="326"/>
      <c r="E4" s="325" t="str">
        <f>'19'!E4</f>
        <v> Forintban!</v>
      </c>
    </row>
    <row r="5" spans="1:5" ht="24.75" thickBot="1">
      <c r="A5" s="327" t="s">
        <v>136</v>
      </c>
      <c r="B5" s="328" t="s">
        <v>485</v>
      </c>
      <c r="C5" s="328" t="s">
        <v>450</v>
      </c>
      <c r="D5" s="329" t="s">
        <v>451</v>
      </c>
      <c r="E5" s="312" t="str">
        <f>+CONCATENATE("Teljesítés",CHAR(10),LEFT(Z_ÖSSZEFÜGGÉSEK!A6,4),". XII. 31.")</f>
        <v>Teljesítés
2020. XII. 31.</v>
      </c>
    </row>
    <row r="6" spans="1:5" s="216" customFormat="1" ht="12.75" customHeight="1" thickBot="1">
      <c r="A6" s="360" t="s">
        <v>386</v>
      </c>
      <c r="B6" s="361" t="s">
        <v>387</v>
      </c>
      <c r="C6" s="361" t="s">
        <v>388</v>
      </c>
      <c r="D6" s="362" t="s">
        <v>390</v>
      </c>
      <c r="E6" s="363" t="s">
        <v>389</v>
      </c>
    </row>
    <row r="7" spans="1:5" s="216" customFormat="1" ht="15.75" customHeight="1" thickBot="1">
      <c r="A7" s="873" t="s">
        <v>39</v>
      </c>
      <c r="B7" s="874"/>
      <c r="C7" s="874"/>
      <c r="D7" s="874"/>
      <c r="E7" s="875"/>
    </row>
    <row r="8" spans="1:5" s="152" customFormat="1" ht="12" customHeight="1" thickBot="1">
      <c r="A8" s="74" t="s">
        <v>6</v>
      </c>
      <c r="B8" s="83" t="s">
        <v>407</v>
      </c>
      <c r="C8" s="119">
        <f>SUM(C9:C19)</f>
        <v>0</v>
      </c>
      <c r="D8" s="119">
        <f>SUM(D9:D19)</f>
        <v>0</v>
      </c>
      <c r="E8" s="121">
        <f>SUM(E9:E19)</f>
        <v>0</v>
      </c>
    </row>
    <row r="9" spans="1:5" s="152" customFormat="1" ht="12" customHeight="1">
      <c r="A9" s="209" t="s">
        <v>63</v>
      </c>
      <c r="B9" s="8" t="s">
        <v>184</v>
      </c>
      <c r="C9" s="272"/>
      <c r="D9" s="272"/>
      <c r="E9" s="292"/>
    </row>
    <row r="10" spans="1:5" s="152" customFormat="1" ht="12" customHeight="1">
      <c r="A10" s="210" t="s">
        <v>64</v>
      </c>
      <c r="B10" s="6" t="s">
        <v>185</v>
      </c>
      <c r="C10" s="116"/>
      <c r="D10" s="259"/>
      <c r="E10" s="264"/>
    </row>
    <row r="11" spans="1:5" s="152" customFormat="1" ht="12" customHeight="1">
      <c r="A11" s="210" t="s">
        <v>65</v>
      </c>
      <c r="B11" s="6" t="s">
        <v>186</v>
      </c>
      <c r="C11" s="116"/>
      <c r="D11" s="259"/>
      <c r="E11" s="264"/>
    </row>
    <row r="12" spans="1:5" s="152" customFormat="1" ht="12" customHeight="1">
      <c r="A12" s="210" t="s">
        <v>66</v>
      </c>
      <c r="B12" s="6" t="s">
        <v>187</v>
      </c>
      <c r="C12" s="116"/>
      <c r="D12" s="259"/>
      <c r="E12" s="264"/>
    </row>
    <row r="13" spans="1:5" s="152" customFormat="1" ht="12" customHeight="1">
      <c r="A13" s="210" t="s">
        <v>97</v>
      </c>
      <c r="B13" s="6" t="s">
        <v>188</v>
      </c>
      <c r="C13" s="116"/>
      <c r="D13" s="259"/>
      <c r="E13" s="264"/>
    </row>
    <row r="14" spans="1:5" s="152" customFormat="1" ht="12" customHeight="1">
      <c r="A14" s="210" t="s">
        <v>67</v>
      </c>
      <c r="B14" s="6" t="s">
        <v>305</v>
      </c>
      <c r="C14" s="116"/>
      <c r="D14" s="259"/>
      <c r="E14" s="264"/>
    </row>
    <row r="15" spans="1:5" s="152" customFormat="1" ht="12" customHeight="1">
      <c r="A15" s="210" t="s">
        <v>68</v>
      </c>
      <c r="B15" s="5" t="s">
        <v>306</v>
      </c>
      <c r="C15" s="116"/>
      <c r="D15" s="259"/>
      <c r="E15" s="264"/>
    </row>
    <row r="16" spans="1:5" s="152" customFormat="1" ht="12" customHeight="1">
      <c r="A16" s="210" t="s">
        <v>76</v>
      </c>
      <c r="B16" s="6" t="s">
        <v>191</v>
      </c>
      <c r="C16" s="270"/>
      <c r="D16" s="297"/>
      <c r="E16" s="268"/>
    </row>
    <row r="17" spans="1:5" s="217" customFormat="1" ht="12" customHeight="1">
      <c r="A17" s="210" t="s">
        <v>77</v>
      </c>
      <c r="B17" s="6" t="s">
        <v>192</v>
      </c>
      <c r="C17" s="116"/>
      <c r="D17" s="259"/>
      <c r="E17" s="264"/>
    </row>
    <row r="18" spans="1:5" s="217" customFormat="1" ht="12" customHeight="1">
      <c r="A18" s="210" t="s">
        <v>78</v>
      </c>
      <c r="B18" s="6" t="s">
        <v>338</v>
      </c>
      <c r="C18" s="118"/>
      <c r="D18" s="260"/>
      <c r="E18" s="265"/>
    </row>
    <row r="19" spans="1:5" s="217" customFormat="1" ht="12" customHeight="1" thickBot="1">
      <c r="A19" s="210" t="s">
        <v>79</v>
      </c>
      <c r="B19" s="5" t="s">
        <v>193</v>
      </c>
      <c r="C19" s="118"/>
      <c r="D19" s="260"/>
      <c r="E19" s="265"/>
    </row>
    <row r="20" spans="1:5" s="152" customFormat="1" ht="12" customHeight="1" thickBot="1">
      <c r="A20" s="74" t="s">
        <v>7</v>
      </c>
      <c r="B20" s="83" t="s">
        <v>307</v>
      </c>
      <c r="C20" s="119">
        <f>SUM(C21:C23)</f>
        <v>0</v>
      </c>
      <c r="D20" s="261">
        <f>SUM(D21:D23)</f>
        <v>0</v>
      </c>
      <c r="E20" s="147">
        <f>SUM(E21:E23)</f>
        <v>0</v>
      </c>
    </row>
    <row r="21" spans="1:5" s="217" customFormat="1" ht="12" customHeight="1">
      <c r="A21" s="210" t="s">
        <v>69</v>
      </c>
      <c r="B21" s="7" t="s">
        <v>168</v>
      </c>
      <c r="C21" s="116"/>
      <c r="D21" s="259"/>
      <c r="E21" s="264"/>
    </row>
    <row r="22" spans="1:5" s="217" customFormat="1" ht="12" customHeight="1">
      <c r="A22" s="210" t="s">
        <v>70</v>
      </c>
      <c r="B22" s="6" t="s">
        <v>308</v>
      </c>
      <c r="C22" s="116"/>
      <c r="D22" s="259"/>
      <c r="E22" s="264"/>
    </row>
    <row r="23" spans="1:5" s="217" customFormat="1" ht="12" customHeight="1">
      <c r="A23" s="210" t="s">
        <v>71</v>
      </c>
      <c r="B23" s="6" t="s">
        <v>309</v>
      </c>
      <c r="C23" s="116"/>
      <c r="D23" s="259"/>
      <c r="E23" s="264"/>
    </row>
    <row r="24" spans="1:5" s="217" customFormat="1" ht="12" customHeight="1" thickBot="1">
      <c r="A24" s="210" t="s">
        <v>72</v>
      </c>
      <c r="B24" s="6" t="s">
        <v>412</v>
      </c>
      <c r="C24" s="116"/>
      <c r="D24" s="259"/>
      <c r="E24" s="264"/>
    </row>
    <row r="25" spans="1:5" s="217" customFormat="1" ht="12" customHeight="1" thickBot="1">
      <c r="A25" s="78" t="s">
        <v>8</v>
      </c>
      <c r="B25" s="56" t="s">
        <v>113</v>
      </c>
      <c r="C25" s="294"/>
      <c r="D25" s="296"/>
      <c r="E25" s="146"/>
    </row>
    <row r="26" spans="1:5" s="217" customFormat="1" ht="12" customHeight="1" thickBot="1">
      <c r="A26" s="78" t="s">
        <v>9</v>
      </c>
      <c r="B26" s="56" t="s">
        <v>310</v>
      </c>
      <c r="C26" s="119">
        <f>+C27+C28</f>
        <v>0</v>
      </c>
      <c r="D26" s="261">
        <f>+D27+D28</f>
        <v>0</v>
      </c>
      <c r="E26" s="147">
        <f>+E27+E28</f>
        <v>0</v>
      </c>
    </row>
    <row r="27" spans="1:5" s="217" customFormat="1" ht="12" customHeight="1">
      <c r="A27" s="211" t="s">
        <v>177</v>
      </c>
      <c r="B27" s="212" t="s">
        <v>308</v>
      </c>
      <c r="C27" s="271"/>
      <c r="D27" s="58"/>
      <c r="E27" s="269"/>
    </row>
    <row r="28" spans="1:5" s="217" customFormat="1" ht="12" customHeight="1">
      <c r="A28" s="211" t="s">
        <v>178</v>
      </c>
      <c r="B28" s="213" t="s">
        <v>311</v>
      </c>
      <c r="C28" s="120"/>
      <c r="D28" s="262"/>
      <c r="E28" s="266"/>
    </row>
    <row r="29" spans="1:5" s="217" customFormat="1" ht="12" customHeight="1" thickBot="1">
      <c r="A29" s="210" t="s">
        <v>179</v>
      </c>
      <c r="B29" s="61" t="s">
        <v>413</v>
      </c>
      <c r="C29" s="49"/>
      <c r="D29" s="298"/>
      <c r="E29" s="293"/>
    </row>
    <row r="30" spans="1:5" s="217" customFormat="1" ht="12" customHeight="1" thickBot="1">
      <c r="A30" s="78" t="s">
        <v>10</v>
      </c>
      <c r="B30" s="56" t="s">
        <v>312</v>
      </c>
      <c r="C30" s="119">
        <f>+C31+C32+C33</f>
        <v>0</v>
      </c>
      <c r="D30" s="261">
        <f>+D31+D32+D33</f>
        <v>0</v>
      </c>
      <c r="E30" s="147">
        <f>+E31+E32+E33</f>
        <v>0</v>
      </c>
    </row>
    <row r="31" spans="1:5" s="217" customFormat="1" ht="12" customHeight="1">
      <c r="A31" s="211" t="s">
        <v>56</v>
      </c>
      <c r="B31" s="212" t="s">
        <v>198</v>
      </c>
      <c r="C31" s="271"/>
      <c r="D31" s="58"/>
      <c r="E31" s="269"/>
    </row>
    <row r="32" spans="1:5" s="217" customFormat="1" ht="12" customHeight="1">
      <c r="A32" s="211" t="s">
        <v>57</v>
      </c>
      <c r="B32" s="213" t="s">
        <v>199</v>
      </c>
      <c r="C32" s="120"/>
      <c r="D32" s="262"/>
      <c r="E32" s="266"/>
    </row>
    <row r="33" spans="1:5" s="217" customFormat="1" ht="12" customHeight="1" thickBot="1">
      <c r="A33" s="210" t="s">
        <v>58</v>
      </c>
      <c r="B33" s="61" t="s">
        <v>200</v>
      </c>
      <c r="C33" s="49"/>
      <c r="D33" s="298"/>
      <c r="E33" s="293"/>
    </row>
    <row r="34" spans="1:5" s="152" customFormat="1" ht="12" customHeight="1" thickBot="1">
      <c r="A34" s="78" t="s">
        <v>11</v>
      </c>
      <c r="B34" s="56" t="s">
        <v>283</v>
      </c>
      <c r="C34" s="294"/>
      <c r="D34" s="296"/>
      <c r="E34" s="146"/>
    </row>
    <row r="35" spans="1:5" s="152" customFormat="1" ht="12" customHeight="1" thickBot="1">
      <c r="A35" s="78" t="s">
        <v>12</v>
      </c>
      <c r="B35" s="56" t="s">
        <v>313</v>
      </c>
      <c r="C35" s="294"/>
      <c r="D35" s="296"/>
      <c r="E35" s="146"/>
    </row>
    <row r="36" spans="1:5" s="152" customFormat="1" ht="12" customHeight="1" thickBot="1">
      <c r="A36" s="74" t="s">
        <v>13</v>
      </c>
      <c r="B36" s="56" t="s">
        <v>414</v>
      </c>
      <c r="C36" s="119">
        <f>+C8+C20+C25+C26+C30+C34+C35</f>
        <v>0</v>
      </c>
      <c r="D36" s="261">
        <f>+D8+D20+D25+D26+D30+D34+D35</f>
        <v>0</v>
      </c>
      <c r="E36" s="147">
        <f>+E8+E20+E25+E26+E30+E34+E35</f>
        <v>0</v>
      </c>
    </row>
    <row r="37" spans="1:5" s="152" customFormat="1" ht="12" customHeight="1" thickBot="1">
      <c r="A37" s="84" t="s">
        <v>14</v>
      </c>
      <c r="B37" s="56" t="s">
        <v>315</v>
      </c>
      <c r="C37" s="119">
        <f>+C38+C39+C40</f>
        <v>0</v>
      </c>
      <c r="D37" s="261">
        <f>+D38+D39+D40</f>
        <v>0</v>
      </c>
      <c r="E37" s="147">
        <f>+E38+E39+E40</f>
        <v>0</v>
      </c>
    </row>
    <row r="38" spans="1:5" s="152" customFormat="1" ht="12" customHeight="1">
      <c r="A38" s="211" t="s">
        <v>316</v>
      </c>
      <c r="B38" s="212" t="s">
        <v>150</v>
      </c>
      <c r="C38" s="271"/>
      <c r="D38" s="58"/>
      <c r="E38" s="269"/>
    </row>
    <row r="39" spans="1:5" s="152" customFormat="1" ht="12" customHeight="1">
      <c r="A39" s="211" t="s">
        <v>317</v>
      </c>
      <c r="B39" s="213" t="s">
        <v>0</v>
      </c>
      <c r="C39" s="120"/>
      <c r="D39" s="262"/>
      <c r="E39" s="266"/>
    </row>
    <row r="40" spans="1:5" s="217" customFormat="1" ht="12" customHeight="1" thickBot="1">
      <c r="A40" s="210" t="s">
        <v>318</v>
      </c>
      <c r="B40" s="61" t="s">
        <v>319</v>
      </c>
      <c r="C40" s="49"/>
      <c r="D40" s="298"/>
      <c r="E40" s="293"/>
    </row>
    <row r="41" spans="1:5" s="217" customFormat="1" ht="15" customHeight="1" thickBot="1">
      <c r="A41" s="84" t="s">
        <v>15</v>
      </c>
      <c r="B41" s="85" t="s">
        <v>320</v>
      </c>
      <c r="C41" s="295">
        <f>+C36+C37</f>
        <v>0</v>
      </c>
      <c r="D41" s="291">
        <f>+D36+D37</f>
        <v>0</v>
      </c>
      <c r="E41" s="150">
        <f>+E36+E37</f>
        <v>0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73" t="s">
        <v>40</v>
      </c>
      <c r="B44" s="874"/>
      <c r="C44" s="874"/>
      <c r="D44" s="874"/>
      <c r="E44" s="875"/>
    </row>
    <row r="45" spans="1:5" s="218" customFormat="1" ht="12" customHeight="1" thickBot="1">
      <c r="A45" s="78" t="s">
        <v>6</v>
      </c>
      <c r="B45" s="56" t="s">
        <v>321</v>
      </c>
      <c r="C45" s="119">
        <f>SUM(C46:C50)</f>
        <v>0</v>
      </c>
      <c r="D45" s="261">
        <f>SUM(D46:D50)</f>
        <v>0</v>
      </c>
      <c r="E45" s="147">
        <f>SUM(E46:E50)</f>
        <v>0</v>
      </c>
    </row>
    <row r="46" spans="1:5" ht="12" customHeight="1">
      <c r="A46" s="210" t="s">
        <v>63</v>
      </c>
      <c r="B46" s="7" t="s">
        <v>35</v>
      </c>
      <c r="C46" s="271"/>
      <c r="D46" s="58"/>
      <c r="E46" s="269"/>
    </row>
    <row r="47" spans="1:5" ht="12" customHeight="1">
      <c r="A47" s="210" t="s">
        <v>64</v>
      </c>
      <c r="B47" s="6" t="s">
        <v>122</v>
      </c>
      <c r="C47" s="48"/>
      <c r="D47" s="59"/>
      <c r="E47" s="267"/>
    </row>
    <row r="48" spans="1:5" ht="12" customHeight="1">
      <c r="A48" s="210" t="s">
        <v>65</v>
      </c>
      <c r="B48" s="6" t="s">
        <v>90</v>
      </c>
      <c r="C48" s="48"/>
      <c r="D48" s="59"/>
      <c r="E48" s="267"/>
    </row>
    <row r="49" spans="1:5" ht="12" customHeight="1">
      <c r="A49" s="210" t="s">
        <v>66</v>
      </c>
      <c r="B49" s="6" t="s">
        <v>123</v>
      </c>
      <c r="C49" s="48"/>
      <c r="D49" s="59"/>
      <c r="E49" s="267"/>
    </row>
    <row r="50" spans="1:5" ht="12" customHeight="1" thickBot="1">
      <c r="A50" s="210" t="s">
        <v>97</v>
      </c>
      <c r="B50" s="6" t="s">
        <v>124</v>
      </c>
      <c r="C50" s="48"/>
      <c r="D50" s="59"/>
      <c r="E50" s="267"/>
    </row>
    <row r="51" spans="1:5" ht="12" customHeight="1" thickBot="1">
      <c r="A51" s="78" t="s">
        <v>7</v>
      </c>
      <c r="B51" s="56" t="s">
        <v>322</v>
      </c>
      <c r="C51" s="119">
        <f>SUM(C52:C54)</f>
        <v>0</v>
      </c>
      <c r="D51" s="261">
        <f>SUM(D52:D54)</f>
        <v>0</v>
      </c>
      <c r="E51" s="147">
        <f>SUM(E52:E54)</f>
        <v>0</v>
      </c>
    </row>
    <row r="52" spans="1:5" s="218" customFormat="1" ht="12" customHeight="1">
      <c r="A52" s="210" t="s">
        <v>69</v>
      </c>
      <c r="B52" s="7" t="s">
        <v>143</v>
      </c>
      <c r="C52" s="271"/>
      <c r="D52" s="58"/>
      <c r="E52" s="269"/>
    </row>
    <row r="53" spans="1:5" ht="12" customHeight="1">
      <c r="A53" s="210" t="s">
        <v>70</v>
      </c>
      <c r="B53" s="6" t="s">
        <v>126</v>
      </c>
      <c r="C53" s="48"/>
      <c r="D53" s="59"/>
      <c r="E53" s="267"/>
    </row>
    <row r="54" spans="1:5" ht="12" customHeight="1">
      <c r="A54" s="210" t="s">
        <v>71</v>
      </c>
      <c r="B54" s="6" t="s">
        <v>41</v>
      </c>
      <c r="C54" s="48"/>
      <c r="D54" s="59"/>
      <c r="E54" s="267"/>
    </row>
    <row r="55" spans="1:5" ht="12" customHeight="1" thickBot="1">
      <c r="A55" s="210" t="s">
        <v>72</v>
      </c>
      <c r="B55" s="6" t="s">
        <v>411</v>
      </c>
      <c r="C55" s="48"/>
      <c r="D55" s="59"/>
      <c r="E55" s="267"/>
    </row>
    <row r="56" spans="1:5" ht="15" customHeight="1" thickBot="1">
      <c r="A56" s="78" t="s">
        <v>8</v>
      </c>
      <c r="B56" s="56" t="s">
        <v>2</v>
      </c>
      <c r="C56" s="294"/>
      <c r="D56" s="296"/>
      <c r="E56" s="146"/>
    </row>
    <row r="57" spans="1:5" ht="13.5" thickBot="1">
      <c r="A57" s="78" t="s">
        <v>9</v>
      </c>
      <c r="B57" s="90" t="s">
        <v>415</v>
      </c>
      <c r="C57" s="295">
        <f>+C45+C51+C56</f>
        <v>0</v>
      </c>
      <c r="D57" s="291">
        <f>+D45+D51+D56</f>
        <v>0</v>
      </c>
      <c r="E57" s="150">
        <f>+E45+E51+E56</f>
        <v>0</v>
      </c>
    </row>
    <row r="58" spans="3:4" ht="15" customHeight="1" thickBot="1">
      <c r="C58" s="654">
        <f>C41-C57</f>
        <v>0</v>
      </c>
      <c r="D58" s="654">
        <f>D41-D57</f>
        <v>0</v>
      </c>
    </row>
    <row r="59" spans="1:5" ht="14.25" customHeight="1" thickBot="1">
      <c r="A59" s="299" t="s">
        <v>486</v>
      </c>
      <c r="B59" s="300"/>
      <c r="C59" s="289"/>
      <c r="D59" s="289"/>
      <c r="E59" s="288"/>
    </row>
    <row r="60" spans="1:5" ht="13.5" thickBot="1">
      <c r="A60" s="301" t="s">
        <v>487</v>
      </c>
      <c r="B60" s="302"/>
      <c r="C60" s="289"/>
      <c r="D60" s="289"/>
      <c r="E60" s="28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1"/>
      <c r="B1" s="882" t="str">
        <f>CONCATENATE("21. melléklet ",Z_ALAPADATOK!A7," ",Z_ALAPADATOK!B7," ",Z_ALAPADATOK!C7," ",Z_ALAPADATOK!D7," ",Z_ALAPADATOK!E7," ",Z_ALAPADATOK!F7," ",Z_ALAPADATOK!G7," ",Z_ALAPADATOK!H7)</f>
        <v>21. melléklet a 8 / 2021. ( V.25 ) önkormányzati rendelethez</v>
      </c>
      <c r="C1" s="883"/>
      <c r="D1" s="883"/>
      <c r="E1" s="883"/>
    </row>
    <row r="2" spans="1:5" s="214" customFormat="1" ht="25.5" customHeight="1" thickBot="1">
      <c r="A2" s="322" t="s">
        <v>454</v>
      </c>
      <c r="B2" s="879" t="str">
        <f>CONCATENATE('20'!B2:D2)</f>
        <v>BEKECSI ÁMK</v>
      </c>
      <c r="C2" s="880"/>
      <c r="D2" s="881"/>
      <c r="E2" s="323" t="s">
        <v>43</v>
      </c>
    </row>
    <row r="3" spans="1:5" s="214" customFormat="1" ht="24.75" thickBot="1">
      <c r="A3" s="322" t="s">
        <v>135</v>
      </c>
      <c r="B3" s="879" t="s">
        <v>416</v>
      </c>
      <c r="C3" s="880"/>
      <c r="D3" s="881"/>
      <c r="E3" s="323" t="s">
        <v>333</v>
      </c>
    </row>
    <row r="4" spans="1:5" s="215" customFormat="1" ht="15.75" customHeight="1" thickBot="1">
      <c r="A4" s="324"/>
      <c r="B4" s="324"/>
      <c r="C4" s="325"/>
      <c r="D4" s="326"/>
      <c r="E4" s="325" t="str">
        <f>'20'!E4</f>
        <v> Forintban!</v>
      </c>
    </row>
    <row r="5" spans="1:5" ht="24.75" thickBot="1">
      <c r="A5" s="327" t="s">
        <v>136</v>
      </c>
      <c r="B5" s="328" t="s">
        <v>485</v>
      </c>
      <c r="C5" s="328" t="s">
        <v>450</v>
      </c>
      <c r="D5" s="329" t="s">
        <v>451</v>
      </c>
      <c r="E5" s="312" t="str">
        <f>CONCATENATE('20'!E5)</f>
        <v>Teljesítés
2020. XII. 31.</v>
      </c>
    </row>
    <row r="6" spans="1:5" s="216" customFormat="1" ht="12.75" customHeight="1" thickBot="1">
      <c r="A6" s="360" t="s">
        <v>386</v>
      </c>
      <c r="B6" s="361" t="s">
        <v>387</v>
      </c>
      <c r="C6" s="361" t="s">
        <v>388</v>
      </c>
      <c r="D6" s="362" t="s">
        <v>390</v>
      </c>
      <c r="E6" s="363" t="s">
        <v>389</v>
      </c>
    </row>
    <row r="7" spans="1:5" s="216" customFormat="1" ht="15.75" customHeight="1" thickBot="1">
      <c r="A7" s="873" t="s">
        <v>39</v>
      </c>
      <c r="B7" s="874"/>
      <c r="C7" s="874"/>
      <c r="D7" s="874"/>
      <c r="E7" s="875"/>
    </row>
    <row r="8" spans="1:5" s="152" customFormat="1" ht="12" customHeight="1" thickBot="1">
      <c r="A8" s="74" t="s">
        <v>6</v>
      </c>
      <c r="B8" s="83" t="s">
        <v>407</v>
      </c>
      <c r="C8" s="119">
        <f>SUM(C9:C19)</f>
        <v>0</v>
      </c>
      <c r="D8" s="119">
        <f>SUM(D9:D19)</f>
        <v>0</v>
      </c>
      <c r="E8" s="121">
        <f>SUM(E9:E19)</f>
        <v>0</v>
      </c>
    </row>
    <row r="9" spans="1:5" s="152" customFormat="1" ht="12" customHeight="1">
      <c r="A9" s="209" t="s">
        <v>63</v>
      </c>
      <c r="B9" s="8" t="s">
        <v>184</v>
      </c>
      <c r="C9" s="272"/>
      <c r="D9" s="272"/>
      <c r="E9" s="292"/>
    </row>
    <row r="10" spans="1:5" s="152" customFormat="1" ht="12" customHeight="1">
      <c r="A10" s="210" t="s">
        <v>64</v>
      </c>
      <c r="B10" s="6" t="s">
        <v>185</v>
      </c>
      <c r="C10" s="116"/>
      <c r="D10" s="259"/>
      <c r="E10" s="264"/>
    </row>
    <row r="11" spans="1:5" s="152" customFormat="1" ht="12" customHeight="1">
      <c r="A11" s="210" t="s">
        <v>65</v>
      </c>
      <c r="B11" s="6" t="s">
        <v>186</v>
      </c>
      <c r="C11" s="116"/>
      <c r="D11" s="259"/>
      <c r="E11" s="264"/>
    </row>
    <row r="12" spans="1:5" s="152" customFormat="1" ht="12" customHeight="1">
      <c r="A12" s="210" t="s">
        <v>66</v>
      </c>
      <c r="B12" s="6" t="s">
        <v>187</v>
      </c>
      <c r="C12" s="116"/>
      <c r="D12" s="259"/>
      <c r="E12" s="264"/>
    </row>
    <row r="13" spans="1:5" s="152" customFormat="1" ht="12" customHeight="1">
      <c r="A13" s="210" t="s">
        <v>97</v>
      </c>
      <c r="B13" s="6" t="s">
        <v>188</v>
      </c>
      <c r="C13" s="116"/>
      <c r="D13" s="259"/>
      <c r="E13" s="264"/>
    </row>
    <row r="14" spans="1:5" s="152" customFormat="1" ht="12" customHeight="1">
      <c r="A14" s="210" t="s">
        <v>67</v>
      </c>
      <c r="B14" s="6" t="s">
        <v>305</v>
      </c>
      <c r="C14" s="116"/>
      <c r="D14" s="259"/>
      <c r="E14" s="264"/>
    </row>
    <row r="15" spans="1:5" s="152" customFormat="1" ht="12" customHeight="1">
      <c r="A15" s="210" t="s">
        <v>68</v>
      </c>
      <c r="B15" s="5" t="s">
        <v>306</v>
      </c>
      <c r="C15" s="116"/>
      <c r="D15" s="259"/>
      <c r="E15" s="264"/>
    </row>
    <row r="16" spans="1:5" s="152" customFormat="1" ht="12" customHeight="1">
      <c r="A16" s="210" t="s">
        <v>76</v>
      </c>
      <c r="B16" s="6" t="s">
        <v>191</v>
      </c>
      <c r="C16" s="270"/>
      <c r="D16" s="297"/>
      <c r="E16" s="268"/>
    </row>
    <row r="17" spans="1:5" s="217" customFormat="1" ht="12" customHeight="1">
      <c r="A17" s="210" t="s">
        <v>77</v>
      </c>
      <c r="B17" s="6" t="s">
        <v>192</v>
      </c>
      <c r="C17" s="116"/>
      <c r="D17" s="259"/>
      <c r="E17" s="264"/>
    </row>
    <row r="18" spans="1:5" s="217" customFormat="1" ht="12" customHeight="1">
      <c r="A18" s="210" t="s">
        <v>78</v>
      </c>
      <c r="B18" s="6" t="s">
        <v>338</v>
      </c>
      <c r="C18" s="118"/>
      <c r="D18" s="260"/>
      <c r="E18" s="265"/>
    </row>
    <row r="19" spans="1:5" s="217" customFormat="1" ht="12" customHeight="1" thickBot="1">
      <c r="A19" s="210" t="s">
        <v>79</v>
      </c>
      <c r="B19" s="5" t="s">
        <v>193</v>
      </c>
      <c r="C19" s="118"/>
      <c r="D19" s="260"/>
      <c r="E19" s="265"/>
    </row>
    <row r="20" spans="1:5" s="152" customFormat="1" ht="12" customHeight="1" thickBot="1">
      <c r="A20" s="74" t="s">
        <v>7</v>
      </c>
      <c r="B20" s="83" t="s">
        <v>307</v>
      </c>
      <c r="C20" s="119">
        <f>SUM(C21:C23)</f>
        <v>0</v>
      </c>
      <c r="D20" s="261">
        <f>SUM(D21:D23)</f>
        <v>0</v>
      </c>
      <c r="E20" s="147">
        <f>SUM(E21:E23)</f>
        <v>0</v>
      </c>
    </row>
    <row r="21" spans="1:5" s="217" customFormat="1" ht="12" customHeight="1">
      <c r="A21" s="210" t="s">
        <v>69</v>
      </c>
      <c r="B21" s="7" t="s">
        <v>168</v>
      </c>
      <c r="C21" s="116"/>
      <c r="D21" s="259"/>
      <c r="E21" s="264"/>
    </row>
    <row r="22" spans="1:5" s="217" customFormat="1" ht="12" customHeight="1">
      <c r="A22" s="210" t="s">
        <v>70</v>
      </c>
      <c r="B22" s="6" t="s">
        <v>308</v>
      </c>
      <c r="C22" s="116"/>
      <c r="D22" s="259"/>
      <c r="E22" s="264"/>
    </row>
    <row r="23" spans="1:5" s="217" customFormat="1" ht="12" customHeight="1">
      <c r="A23" s="210" t="s">
        <v>71</v>
      </c>
      <c r="B23" s="6" t="s">
        <v>309</v>
      </c>
      <c r="C23" s="116"/>
      <c r="D23" s="259"/>
      <c r="E23" s="264"/>
    </row>
    <row r="24" spans="1:5" s="217" customFormat="1" ht="12" customHeight="1" thickBot="1">
      <c r="A24" s="210" t="s">
        <v>72</v>
      </c>
      <c r="B24" s="6" t="s">
        <v>412</v>
      </c>
      <c r="C24" s="116"/>
      <c r="D24" s="259"/>
      <c r="E24" s="264"/>
    </row>
    <row r="25" spans="1:5" s="217" customFormat="1" ht="12" customHeight="1" thickBot="1">
      <c r="A25" s="78" t="s">
        <v>8</v>
      </c>
      <c r="B25" s="56" t="s">
        <v>113</v>
      </c>
      <c r="C25" s="294"/>
      <c r="D25" s="296"/>
      <c r="E25" s="146"/>
    </row>
    <row r="26" spans="1:5" s="217" customFormat="1" ht="12" customHeight="1" thickBot="1">
      <c r="A26" s="78" t="s">
        <v>9</v>
      </c>
      <c r="B26" s="56" t="s">
        <v>310</v>
      </c>
      <c r="C26" s="119">
        <f>+C27+C28</f>
        <v>0</v>
      </c>
      <c r="D26" s="261">
        <f>+D27+D28</f>
        <v>0</v>
      </c>
      <c r="E26" s="147">
        <f>+E27+E28</f>
        <v>0</v>
      </c>
    </row>
    <row r="27" spans="1:5" s="217" customFormat="1" ht="12" customHeight="1">
      <c r="A27" s="211" t="s">
        <v>177</v>
      </c>
      <c r="B27" s="212" t="s">
        <v>308</v>
      </c>
      <c r="C27" s="271"/>
      <c r="D27" s="58"/>
      <c r="E27" s="269"/>
    </row>
    <row r="28" spans="1:5" s="217" customFormat="1" ht="12" customHeight="1">
      <c r="A28" s="211" t="s">
        <v>178</v>
      </c>
      <c r="B28" s="213" t="s">
        <v>311</v>
      </c>
      <c r="C28" s="120"/>
      <c r="D28" s="262"/>
      <c r="E28" s="266"/>
    </row>
    <row r="29" spans="1:5" s="217" customFormat="1" ht="12" customHeight="1" thickBot="1">
      <c r="A29" s="210" t="s">
        <v>179</v>
      </c>
      <c r="B29" s="61" t="s">
        <v>413</v>
      </c>
      <c r="C29" s="49"/>
      <c r="D29" s="298"/>
      <c r="E29" s="293"/>
    </row>
    <row r="30" spans="1:5" s="217" customFormat="1" ht="12" customHeight="1" thickBot="1">
      <c r="A30" s="78" t="s">
        <v>10</v>
      </c>
      <c r="B30" s="56" t="s">
        <v>312</v>
      </c>
      <c r="C30" s="119">
        <f>+C31+C32+C33</f>
        <v>0</v>
      </c>
      <c r="D30" s="261">
        <f>+D31+D32+D33</f>
        <v>0</v>
      </c>
      <c r="E30" s="147">
        <f>+E31+E32+E33</f>
        <v>0</v>
      </c>
    </row>
    <row r="31" spans="1:5" s="217" customFormat="1" ht="12" customHeight="1">
      <c r="A31" s="211" t="s">
        <v>56</v>
      </c>
      <c r="B31" s="212" t="s">
        <v>198</v>
      </c>
      <c r="C31" s="271"/>
      <c r="D31" s="58"/>
      <c r="E31" s="269"/>
    </row>
    <row r="32" spans="1:5" s="217" customFormat="1" ht="12" customHeight="1">
      <c r="A32" s="211" t="s">
        <v>57</v>
      </c>
      <c r="B32" s="213" t="s">
        <v>199</v>
      </c>
      <c r="C32" s="120"/>
      <c r="D32" s="262"/>
      <c r="E32" s="266"/>
    </row>
    <row r="33" spans="1:5" s="217" customFormat="1" ht="12" customHeight="1" thickBot="1">
      <c r="A33" s="210" t="s">
        <v>58</v>
      </c>
      <c r="B33" s="61" t="s">
        <v>200</v>
      </c>
      <c r="C33" s="49"/>
      <c r="D33" s="298"/>
      <c r="E33" s="293"/>
    </row>
    <row r="34" spans="1:5" s="152" customFormat="1" ht="12" customHeight="1" thickBot="1">
      <c r="A34" s="78" t="s">
        <v>11</v>
      </c>
      <c r="B34" s="56" t="s">
        <v>283</v>
      </c>
      <c r="C34" s="294"/>
      <c r="D34" s="296"/>
      <c r="E34" s="146"/>
    </row>
    <row r="35" spans="1:5" s="152" customFormat="1" ht="12" customHeight="1" thickBot="1">
      <c r="A35" s="78" t="s">
        <v>12</v>
      </c>
      <c r="B35" s="56" t="s">
        <v>313</v>
      </c>
      <c r="C35" s="294"/>
      <c r="D35" s="296"/>
      <c r="E35" s="146"/>
    </row>
    <row r="36" spans="1:5" s="152" customFormat="1" ht="12" customHeight="1" thickBot="1">
      <c r="A36" s="74" t="s">
        <v>13</v>
      </c>
      <c r="B36" s="56" t="s">
        <v>414</v>
      </c>
      <c r="C36" s="119">
        <f>+C8+C20+C25+C26+C30+C34+C35</f>
        <v>0</v>
      </c>
      <c r="D36" s="261">
        <f>+D8+D20+D25+D26+D30+D34+D35</f>
        <v>0</v>
      </c>
      <c r="E36" s="147">
        <f>+E8+E20+E25+E26+E30+E34+E35</f>
        <v>0</v>
      </c>
    </row>
    <row r="37" spans="1:5" s="152" customFormat="1" ht="12" customHeight="1" thickBot="1">
      <c r="A37" s="84" t="s">
        <v>14</v>
      </c>
      <c r="B37" s="56" t="s">
        <v>315</v>
      </c>
      <c r="C37" s="119">
        <f>+C38+C39+C40</f>
        <v>0</v>
      </c>
      <c r="D37" s="261">
        <f>+D38+D39+D40</f>
        <v>0</v>
      </c>
      <c r="E37" s="147">
        <f>+E38+E39+E40</f>
        <v>0</v>
      </c>
    </row>
    <row r="38" spans="1:5" s="152" customFormat="1" ht="12" customHeight="1">
      <c r="A38" s="211" t="s">
        <v>316</v>
      </c>
      <c r="B38" s="212" t="s">
        <v>150</v>
      </c>
      <c r="C38" s="271"/>
      <c r="D38" s="58"/>
      <c r="E38" s="269"/>
    </row>
    <row r="39" spans="1:5" s="152" customFormat="1" ht="12" customHeight="1">
      <c r="A39" s="211" t="s">
        <v>317</v>
      </c>
      <c r="B39" s="213" t="s">
        <v>0</v>
      </c>
      <c r="C39" s="120"/>
      <c r="D39" s="262"/>
      <c r="E39" s="266"/>
    </row>
    <row r="40" spans="1:5" s="217" customFormat="1" ht="12" customHeight="1" thickBot="1">
      <c r="A40" s="210" t="s">
        <v>318</v>
      </c>
      <c r="B40" s="61" t="s">
        <v>319</v>
      </c>
      <c r="C40" s="49"/>
      <c r="D40" s="298"/>
      <c r="E40" s="293"/>
    </row>
    <row r="41" spans="1:5" s="217" customFormat="1" ht="15" customHeight="1" thickBot="1">
      <c r="A41" s="84" t="s">
        <v>15</v>
      </c>
      <c r="B41" s="85" t="s">
        <v>320</v>
      </c>
      <c r="C41" s="295">
        <f>+C36+C37</f>
        <v>0</v>
      </c>
      <c r="D41" s="291">
        <f>+D36+D37</f>
        <v>0</v>
      </c>
      <c r="E41" s="150">
        <f>+E36+E37</f>
        <v>0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73" t="s">
        <v>40</v>
      </c>
      <c r="B44" s="874"/>
      <c r="C44" s="874"/>
      <c r="D44" s="874"/>
      <c r="E44" s="875"/>
    </row>
    <row r="45" spans="1:5" s="218" customFormat="1" ht="12" customHeight="1" thickBot="1">
      <c r="A45" s="78" t="s">
        <v>6</v>
      </c>
      <c r="B45" s="56" t="s">
        <v>321</v>
      </c>
      <c r="C45" s="119">
        <f>SUM(C46:C50)</f>
        <v>0</v>
      </c>
      <c r="D45" s="261">
        <f>SUM(D46:D50)</f>
        <v>0</v>
      </c>
      <c r="E45" s="147">
        <f>SUM(E46:E50)</f>
        <v>0</v>
      </c>
    </row>
    <row r="46" spans="1:5" ht="12" customHeight="1">
      <c r="A46" s="210" t="s">
        <v>63</v>
      </c>
      <c r="B46" s="7" t="s">
        <v>35</v>
      </c>
      <c r="C46" s="271"/>
      <c r="D46" s="58"/>
      <c r="E46" s="269"/>
    </row>
    <row r="47" spans="1:5" ht="12" customHeight="1">
      <c r="A47" s="210" t="s">
        <v>64</v>
      </c>
      <c r="B47" s="6" t="s">
        <v>122</v>
      </c>
      <c r="C47" s="48"/>
      <c r="D47" s="59"/>
      <c r="E47" s="267"/>
    </row>
    <row r="48" spans="1:5" ht="12" customHeight="1">
      <c r="A48" s="210" t="s">
        <v>65</v>
      </c>
      <c r="B48" s="6" t="s">
        <v>90</v>
      </c>
      <c r="C48" s="48"/>
      <c r="D48" s="59"/>
      <c r="E48" s="267"/>
    </row>
    <row r="49" spans="1:5" ht="12" customHeight="1">
      <c r="A49" s="210" t="s">
        <v>66</v>
      </c>
      <c r="B49" s="6" t="s">
        <v>123</v>
      </c>
      <c r="C49" s="48"/>
      <c r="D49" s="59"/>
      <c r="E49" s="267"/>
    </row>
    <row r="50" spans="1:5" ht="12" customHeight="1" thickBot="1">
      <c r="A50" s="210" t="s">
        <v>97</v>
      </c>
      <c r="B50" s="6" t="s">
        <v>124</v>
      </c>
      <c r="C50" s="48"/>
      <c r="D50" s="59"/>
      <c r="E50" s="267"/>
    </row>
    <row r="51" spans="1:5" ht="12" customHeight="1" thickBot="1">
      <c r="A51" s="78" t="s">
        <v>7</v>
      </c>
      <c r="B51" s="56" t="s">
        <v>322</v>
      </c>
      <c r="C51" s="119">
        <f>SUM(C52:C54)</f>
        <v>0</v>
      </c>
      <c r="D51" s="261">
        <f>SUM(D52:D54)</f>
        <v>0</v>
      </c>
      <c r="E51" s="147">
        <f>SUM(E52:E54)</f>
        <v>0</v>
      </c>
    </row>
    <row r="52" spans="1:5" s="218" customFormat="1" ht="12" customHeight="1">
      <c r="A52" s="210" t="s">
        <v>69</v>
      </c>
      <c r="B52" s="7" t="s">
        <v>143</v>
      </c>
      <c r="C52" s="271"/>
      <c r="D52" s="58"/>
      <c r="E52" s="269"/>
    </row>
    <row r="53" spans="1:5" ht="12" customHeight="1">
      <c r="A53" s="210" t="s">
        <v>70</v>
      </c>
      <c r="B53" s="6" t="s">
        <v>126</v>
      </c>
      <c r="C53" s="48"/>
      <c r="D53" s="59"/>
      <c r="E53" s="267"/>
    </row>
    <row r="54" spans="1:5" ht="12" customHeight="1">
      <c r="A54" s="210" t="s">
        <v>71</v>
      </c>
      <c r="B54" s="6" t="s">
        <v>41</v>
      </c>
      <c r="C54" s="48"/>
      <c r="D54" s="59"/>
      <c r="E54" s="267"/>
    </row>
    <row r="55" spans="1:5" ht="12" customHeight="1" thickBot="1">
      <c r="A55" s="210" t="s">
        <v>72</v>
      </c>
      <c r="B55" s="6" t="s">
        <v>411</v>
      </c>
      <c r="C55" s="48"/>
      <c r="D55" s="59"/>
      <c r="E55" s="267"/>
    </row>
    <row r="56" spans="1:5" ht="15" customHeight="1" thickBot="1">
      <c r="A56" s="78" t="s">
        <v>8</v>
      </c>
      <c r="B56" s="56" t="s">
        <v>2</v>
      </c>
      <c r="C56" s="294"/>
      <c r="D56" s="296"/>
      <c r="E56" s="146"/>
    </row>
    <row r="57" spans="1:5" ht="13.5" thickBot="1">
      <c r="A57" s="78" t="s">
        <v>9</v>
      </c>
      <c r="B57" s="90" t="s">
        <v>415</v>
      </c>
      <c r="C57" s="295">
        <f>+C45+C51+C56</f>
        <v>0</v>
      </c>
      <c r="D57" s="291">
        <f>+D45+D51+D56</f>
        <v>0</v>
      </c>
      <c r="E57" s="150">
        <f>+E45+E51+E56</f>
        <v>0</v>
      </c>
    </row>
    <row r="58" spans="3:4" ht="15" customHeight="1" thickBot="1">
      <c r="C58" s="654">
        <f>C41-C57</f>
        <v>0</v>
      </c>
      <c r="D58" s="654">
        <f>D41-D57</f>
        <v>0</v>
      </c>
    </row>
    <row r="59" spans="1:5" ht="14.25" customHeight="1" thickBot="1">
      <c r="A59" s="299" t="s">
        <v>486</v>
      </c>
      <c r="B59" s="300"/>
      <c r="C59" s="289"/>
      <c r="D59" s="289"/>
      <c r="E59" s="288"/>
    </row>
    <row r="60" spans="1:5" ht="13.5" thickBot="1">
      <c r="A60" s="301" t="s">
        <v>487</v>
      </c>
      <c r="B60" s="302"/>
      <c r="C60" s="289"/>
      <c r="D60" s="289"/>
      <c r="E60" s="28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7.00390625" style="675" customWidth="1"/>
    <col min="2" max="2" width="32.00390625" style="92" customWidth="1"/>
    <col min="3" max="3" width="12.50390625" style="92" customWidth="1"/>
    <col min="4" max="6" width="11.875" style="92" customWidth="1"/>
    <col min="7" max="7" width="12.875" style="92" customWidth="1"/>
    <col min="8" max="16384" width="9.375" style="92" customWidth="1"/>
  </cols>
  <sheetData>
    <row r="1" spans="1:7" ht="18.75" customHeight="1">
      <c r="A1" s="888" t="str">
        <f>CONCATENATE("22. melléklet ",Z_ALAPADATOK!A7," ",Z_ALAPADATOK!B7," ",Z_ALAPADATOK!C7," ",Z_ALAPADATOK!D7," ",Z_ALAPADATOK!E7," ",Z_ALAPADATOK!F7," ",Z_ALAPADATOK!G7," ",Z_ALAPADATOK!H7)</f>
        <v>22. melléklet a 8 / 2021. ( V.25 ) önkormányzati rendelethez</v>
      </c>
      <c r="B1" s="889"/>
      <c r="C1" s="889"/>
      <c r="D1" s="889"/>
      <c r="E1" s="889"/>
      <c r="F1" s="889"/>
      <c r="G1" s="889"/>
    </row>
    <row r="3" spans="1:7" ht="15.75">
      <c r="A3" s="886" t="s">
        <v>834</v>
      </c>
      <c r="B3" s="887"/>
      <c r="C3" s="887"/>
      <c r="D3" s="887"/>
      <c r="E3" s="887"/>
      <c r="F3" s="887"/>
      <c r="G3" s="887"/>
    </row>
    <row r="5" ht="14.25" thickBot="1">
      <c r="G5" s="676" t="s">
        <v>838</v>
      </c>
    </row>
    <row r="6" spans="1:7" ht="17.25" customHeight="1" thickBot="1">
      <c r="A6" s="890" t="s">
        <v>4</v>
      </c>
      <c r="B6" s="892" t="s">
        <v>826</v>
      </c>
      <c r="C6" s="892" t="s">
        <v>827</v>
      </c>
      <c r="D6" s="892" t="s">
        <v>828</v>
      </c>
      <c r="E6" s="894" t="s">
        <v>829</v>
      </c>
      <c r="F6" s="894"/>
      <c r="G6" s="895"/>
    </row>
    <row r="7" spans="1:7" s="679" customFormat="1" ht="57.75" customHeight="1" thickBot="1">
      <c r="A7" s="891"/>
      <c r="B7" s="893"/>
      <c r="C7" s="893"/>
      <c r="D7" s="893"/>
      <c r="E7" s="677" t="s">
        <v>830</v>
      </c>
      <c r="F7" s="677" t="s">
        <v>831</v>
      </c>
      <c r="G7" s="678" t="s">
        <v>832</v>
      </c>
    </row>
    <row r="8" spans="1:7" s="218" customFormat="1" ht="15" customHeight="1" thickBot="1">
      <c r="A8" s="74" t="s">
        <v>386</v>
      </c>
      <c r="B8" s="75" t="s">
        <v>387</v>
      </c>
      <c r="C8" s="75" t="s">
        <v>388</v>
      </c>
      <c r="D8" s="75" t="s">
        <v>390</v>
      </c>
      <c r="E8" s="75" t="s">
        <v>833</v>
      </c>
      <c r="F8" s="75" t="s">
        <v>391</v>
      </c>
      <c r="G8" s="76" t="s">
        <v>392</v>
      </c>
    </row>
    <row r="9" spans="1:7" ht="15" customHeight="1">
      <c r="A9" s="680" t="s">
        <v>6</v>
      </c>
      <c r="B9" s="681" t="s">
        <v>912</v>
      </c>
      <c r="C9" s="682">
        <v>189280039</v>
      </c>
      <c r="D9" s="682"/>
      <c r="E9" s="683">
        <f>C9-D9</f>
        <v>189280039</v>
      </c>
      <c r="F9" s="682"/>
      <c r="G9" s="684">
        <v>189280039</v>
      </c>
    </row>
    <row r="10" spans="1:7" ht="15" customHeight="1">
      <c r="A10" s="685" t="s">
        <v>7</v>
      </c>
      <c r="B10" s="686" t="s">
        <v>913</v>
      </c>
      <c r="C10" s="21">
        <v>1461337</v>
      </c>
      <c r="D10" s="21"/>
      <c r="E10" s="683">
        <f aca="true" t="shared" si="0" ref="E10:E39">C10-D10</f>
        <v>1461337</v>
      </c>
      <c r="F10" s="21">
        <v>1461337</v>
      </c>
      <c r="G10" s="448"/>
    </row>
    <row r="11" spans="1:7" ht="15" customHeight="1">
      <c r="A11" s="685" t="s">
        <v>8</v>
      </c>
      <c r="B11" s="686" t="s">
        <v>914</v>
      </c>
      <c r="C11" s="21">
        <v>6432373</v>
      </c>
      <c r="D11" s="21"/>
      <c r="E11" s="683">
        <f t="shared" si="0"/>
        <v>6432373</v>
      </c>
      <c r="F11" s="21">
        <v>6432373</v>
      </c>
      <c r="G11" s="448"/>
    </row>
    <row r="12" spans="1:7" ht="15" customHeight="1">
      <c r="A12" s="685" t="s">
        <v>9</v>
      </c>
      <c r="B12" s="686"/>
      <c r="C12" s="21"/>
      <c r="D12" s="21"/>
      <c r="E12" s="683">
        <f t="shared" si="0"/>
        <v>0</v>
      </c>
      <c r="F12" s="21"/>
      <c r="G12" s="448"/>
    </row>
    <row r="13" spans="1:7" ht="15" customHeight="1">
      <c r="A13" s="685" t="s">
        <v>10</v>
      </c>
      <c r="B13" s="686"/>
      <c r="C13" s="21"/>
      <c r="D13" s="21"/>
      <c r="E13" s="683">
        <f t="shared" si="0"/>
        <v>0</v>
      </c>
      <c r="F13" s="21"/>
      <c r="G13" s="448"/>
    </row>
    <row r="14" spans="1:7" ht="15" customHeight="1">
      <c r="A14" s="685" t="s">
        <v>11</v>
      </c>
      <c r="B14" s="686"/>
      <c r="C14" s="21"/>
      <c r="D14" s="21"/>
      <c r="E14" s="683">
        <f t="shared" si="0"/>
        <v>0</v>
      </c>
      <c r="F14" s="21"/>
      <c r="G14" s="448"/>
    </row>
    <row r="15" spans="1:7" ht="15" customHeight="1">
      <c r="A15" s="685" t="s">
        <v>12</v>
      </c>
      <c r="B15" s="686"/>
      <c r="C15" s="21"/>
      <c r="D15" s="21"/>
      <c r="E15" s="683">
        <f t="shared" si="0"/>
        <v>0</v>
      </c>
      <c r="F15" s="21"/>
      <c r="G15" s="448"/>
    </row>
    <row r="16" spans="1:7" ht="15" customHeight="1">
      <c r="A16" s="685" t="s">
        <v>13</v>
      </c>
      <c r="B16" s="686"/>
      <c r="C16" s="21"/>
      <c r="D16" s="21"/>
      <c r="E16" s="683">
        <f t="shared" si="0"/>
        <v>0</v>
      </c>
      <c r="F16" s="21"/>
      <c r="G16" s="448"/>
    </row>
    <row r="17" spans="1:7" ht="15" customHeight="1">
      <c r="A17" s="685" t="s">
        <v>14</v>
      </c>
      <c r="B17" s="686"/>
      <c r="C17" s="21"/>
      <c r="D17" s="21"/>
      <c r="E17" s="683">
        <f t="shared" si="0"/>
        <v>0</v>
      </c>
      <c r="F17" s="21"/>
      <c r="G17" s="448"/>
    </row>
    <row r="18" spans="1:7" ht="15" customHeight="1">
      <c r="A18" s="685" t="s">
        <v>15</v>
      </c>
      <c r="B18" s="686"/>
      <c r="C18" s="21"/>
      <c r="D18" s="21"/>
      <c r="E18" s="683">
        <f t="shared" si="0"/>
        <v>0</v>
      </c>
      <c r="F18" s="21"/>
      <c r="G18" s="448"/>
    </row>
    <row r="19" spans="1:7" ht="15" customHeight="1">
      <c r="A19" s="685" t="s">
        <v>16</v>
      </c>
      <c r="B19" s="686"/>
      <c r="C19" s="21"/>
      <c r="D19" s="21"/>
      <c r="E19" s="683">
        <f t="shared" si="0"/>
        <v>0</v>
      </c>
      <c r="F19" s="21"/>
      <c r="G19" s="448"/>
    </row>
    <row r="20" spans="1:7" ht="15" customHeight="1">
      <c r="A20" s="685" t="s">
        <v>17</v>
      </c>
      <c r="B20" s="686"/>
      <c r="C20" s="21"/>
      <c r="D20" s="21"/>
      <c r="E20" s="683">
        <f t="shared" si="0"/>
        <v>0</v>
      </c>
      <c r="F20" s="21"/>
      <c r="G20" s="448"/>
    </row>
    <row r="21" spans="1:7" ht="15" customHeight="1">
      <c r="A21" s="685" t="s">
        <v>18</v>
      </c>
      <c r="B21" s="686"/>
      <c r="C21" s="21"/>
      <c r="D21" s="21"/>
      <c r="E21" s="683">
        <f t="shared" si="0"/>
        <v>0</v>
      </c>
      <c r="F21" s="21"/>
      <c r="G21" s="448"/>
    </row>
    <row r="22" spans="1:7" ht="15" customHeight="1">
      <c r="A22" s="685" t="s">
        <v>19</v>
      </c>
      <c r="B22" s="686"/>
      <c r="C22" s="21"/>
      <c r="D22" s="21"/>
      <c r="E22" s="683">
        <f t="shared" si="0"/>
        <v>0</v>
      </c>
      <c r="F22" s="21"/>
      <c r="G22" s="448"/>
    </row>
    <row r="23" spans="1:7" ht="15" customHeight="1">
      <c r="A23" s="685" t="s">
        <v>20</v>
      </c>
      <c r="B23" s="686"/>
      <c r="C23" s="21"/>
      <c r="D23" s="21"/>
      <c r="E23" s="683">
        <f t="shared" si="0"/>
        <v>0</v>
      </c>
      <c r="F23" s="21"/>
      <c r="G23" s="448"/>
    </row>
    <row r="24" spans="1:7" ht="15" customHeight="1">
      <c r="A24" s="685" t="s">
        <v>21</v>
      </c>
      <c r="B24" s="686"/>
      <c r="C24" s="21"/>
      <c r="D24" s="21"/>
      <c r="E24" s="683">
        <f t="shared" si="0"/>
        <v>0</v>
      </c>
      <c r="F24" s="21"/>
      <c r="G24" s="448"/>
    </row>
    <row r="25" spans="1:7" ht="15" customHeight="1">
      <c r="A25" s="685" t="s">
        <v>22</v>
      </c>
      <c r="B25" s="686"/>
      <c r="C25" s="21"/>
      <c r="D25" s="21"/>
      <c r="E25" s="683">
        <f t="shared" si="0"/>
        <v>0</v>
      </c>
      <c r="F25" s="21"/>
      <c r="G25" s="448"/>
    </row>
    <row r="26" spans="1:7" ht="15" customHeight="1">
      <c r="A26" s="685" t="s">
        <v>23</v>
      </c>
      <c r="B26" s="686"/>
      <c r="C26" s="21"/>
      <c r="D26" s="21"/>
      <c r="E26" s="683">
        <f t="shared" si="0"/>
        <v>0</v>
      </c>
      <c r="F26" s="21"/>
      <c r="G26" s="448"/>
    </row>
    <row r="27" spans="1:7" ht="15" customHeight="1">
      <c r="A27" s="685" t="s">
        <v>24</v>
      </c>
      <c r="B27" s="686"/>
      <c r="C27" s="21"/>
      <c r="D27" s="21"/>
      <c r="E27" s="683">
        <f t="shared" si="0"/>
        <v>0</v>
      </c>
      <c r="F27" s="21"/>
      <c r="G27" s="448"/>
    </row>
    <row r="28" spans="1:7" ht="15" customHeight="1">
      <c r="A28" s="685" t="s">
        <v>25</v>
      </c>
      <c r="B28" s="686"/>
      <c r="C28" s="21"/>
      <c r="D28" s="21"/>
      <c r="E28" s="683">
        <f t="shared" si="0"/>
        <v>0</v>
      </c>
      <c r="F28" s="21"/>
      <c r="G28" s="448"/>
    </row>
    <row r="29" spans="1:7" ht="15" customHeight="1">
      <c r="A29" s="685" t="s">
        <v>26</v>
      </c>
      <c r="B29" s="686"/>
      <c r="C29" s="21"/>
      <c r="D29" s="21"/>
      <c r="E29" s="683">
        <f t="shared" si="0"/>
        <v>0</v>
      </c>
      <c r="F29" s="21"/>
      <c r="G29" s="448"/>
    </row>
    <row r="30" spans="1:7" ht="15" customHeight="1">
      <c r="A30" s="685" t="s">
        <v>27</v>
      </c>
      <c r="B30" s="686"/>
      <c r="C30" s="21"/>
      <c r="D30" s="21"/>
      <c r="E30" s="683">
        <f t="shared" si="0"/>
        <v>0</v>
      </c>
      <c r="F30" s="21"/>
      <c r="G30" s="448"/>
    </row>
    <row r="31" spans="1:7" ht="15" customHeight="1">
      <c r="A31" s="685" t="s">
        <v>28</v>
      </c>
      <c r="B31" s="686"/>
      <c r="C31" s="21"/>
      <c r="D31" s="21"/>
      <c r="E31" s="683">
        <f t="shared" si="0"/>
        <v>0</v>
      </c>
      <c r="F31" s="21"/>
      <c r="G31" s="448"/>
    </row>
    <row r="32" spans="1:7" ht="15" customHeight="1">
      <c r="A32" s="685" t="s">
        <v>29</v>
      </c>
      <c r="B32" s="686"/>
      <c r="C32" s="21"/>
      <c r="D32" s="21"/>
      <c r="E32" s="683">
        <f t="shared" si="0"/>
        <v>0</v>
      </c>
      <c r="F32" s="21"/>
      <c r="G32" s="448"/>
    </row>
    <row r="33" spans="1:7" ht="15" customHeight="1">
      <c r="A33" s="685" t="s">
        <v>30</v>
      </c>
      <c r="B33" s="686"/>
      <c r="C33" s="21"/>
      <c r="D33" s="21"/>
      <c r="E33" s="683">
        <f t="shared" si="0"/>
        <v>0</v>
      </c>
      <c r="F33" s="21"/>
      <c r="G33" s="448"/>
    </row>
    <row r="34" spans="1:7" ht="15" customHeight="1">
      <c r="A34" s="685" t="s">
        <v>31</v>
      </c>
      <c r="B34" s="686"/>
      <c r="C34" s="21"/>
      <c r="D34" s="21"/>
      <c r="E34" s="683">
        <f t="shared" si="0"/>
        <v>0</v>
      </c>
      <c r="F34" s="21"/>
      <c r="G34" s="448"/>
    </row>
    <row r="35" spans="1:7" ht="15" customHeight="1">
      <c r="A35" s="685" t="s">
        <v>32</v>
      </c>
      <c r="B35" s="686"/>
      <c r="C35" s="21"/>
      <c r="D35" s="21"/>
      <c r="E35" s="683">
        <f t="shared" si="0"/>
        <v>0</v>
      </c>
      <c r="F35" s="21"/>
      <c r="G35" s="448"/>
    </row>
    <row r="36" spans="1:7" ht="15" customHeight="1">
      <c r="A36" s="685" t="s">
        <v>33</v>
      </c>
      <c r="B36" s="686"/>
      <c r="C36" s="21"/>
      <c r="D36" s="21"/>
      <c r="E36" s="683">
        <f t="shared" si="0"/>
        <v>0</v>
      </c>
      <c r="F36" s="21"/>
      <c r="G36" s="448"/>
    </row>
    <row r="37" spans="1:7" ht="15" customHeight="1">
      <c r="A37" s="685" t="s">
        <v>598</v>
      </c>
      <c r="B37" s="686"/>
      <c r="C37" s="21"/>
      <c r="D37" s="21"/>
      <c r="E37" s="683">
        <f t="shared" si="0"/>
        <v>0</v>
      </c>
      <c r="F37" s="21"/>
      <c r="G37" s="448"/>
    </row>
    <row r="38" spans="1:7" ht="15" customHeight="1">
      <c r="A38" s="685" t="s">
        <v>599</v>
      </c>
      <c r="B38" s="686"/>
      <c r="C38" s="21"/>
      <c r="D38" s="21"/>
      <c r="E38" s="683">
        <f t="shared" si="0"/>
        <v>0</v>
      </c>
      <c r="F38" s="21"/>
      <c r="G38" s="448"/>
    </row>
    <row r="39" spans="1:7" ht="15" customHeight="1" thickBot="1">
      <c r="A39" s="685" t="s">
        <v>600</v>
      </c>
      <c r="B39" s="687"/>
      <c r="C39" s="22"/>
      <c r="D39" s="22"/>
      <c r="E39" s="683">
        <f t="shared" si="0"/>
        <v>0</v>
      </c>
      <c r="F39" s="22"/>
      <c r="G39" s="688"/>
    </row>
    <row r="40" spans="1:7" ht="15" customHeight="1" thickBot="1">
      <c r="A40" s="884" t="s">
        <v>37</v>
      </c>
      <c r="B40" s="885"/>
      <c r="C40" s="37">
        <f>SUM(C9:C39)</f>
        <v>197173749</v>
      </c>
      <c r="D40" s="37">
        <f>SUM(D9:D39)</f>
        <v>0</v>
      </c>
      <c r="E40" s="37">
        <f>SUM(E9:E39)</f>
        <v>197173749</v>
      </c>
      <c r="F40" s="37">
        <f>SUM(F9:F39)</f>
        <v>7893710</v>
      </c>
      <c r="G40" s="38">
        <f>SUM(G9:G39)</f>
        <v>189280039</v>
      </c>
    </row>
  </sheetData>
  <sheetProtection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KÖLTSÉGVETÉSI SZERVEK PÉNZMARADVÁNYÁNAK ALAKULÁSA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1"/>
  <sheetViews>
    <sheetView zoomScale="120" zoomScaleNormal="120" zoomScalePageLayoutView="120" workbookViewId="0" topLeftCell="A7">
      <selection activeCell="F21" sqref="F21"/>
    </sheetView>
  </sheetViews>
  <sheetFormatPr defaultColWidth="9.00390625" defaultRowHeight="12.75"/>
  <cols>
    <col min="1" max="1" width="13.875" style="31" customWidth="1"/>
    <col min="2" max="2" width="88.625" style="31" customWidth="1"/>
    <col min="3" max="5" width="15.875" style="31" customWidth="1"/>
    <col min="6" max="6" width="4.875" style="674" customWidth="1"/>
    <col min="7" max="16384" width="9.375" style="31" customWidth="1"/>
  </cols>
  <sheetData>
    <row r="1" spans="2:6" ht="47.25" customHeight="1">
      <c r="B1" s="896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96"/>
      <c r="D1" s="896"/>
      <c r="E1" s="896"/>
      <c r="F1" s="897" t="str">
        <f>CONCATENATE("23. melléklet ",Z_ALAPADATOK!A7," ",Z_ALAPADATOK!B7," ",Z_ALAPADATOK!C7," ",Z_ALAPADATOK!D7," ",Z_ALAPADATOK!E7," ",Z_ALAPADATOK!F7," ",Z_ALAPADATOK!G7," ",Z_ALAPADATOK!H7)</f>
        <v>23. melléklet a 8 / 2021. ( V.25 ) önkormányzati rendelethez</v>
      </c>
    </row>
    <row r="2" spans="2:6" ht="22.5" customHeight="1" thickBot="1">
      <c r="B2" s="898"/>
      <c r="C2" s="898"/>
      <c r="D2" s="898"/>
      <c r="E2" s="658" t="s">
        <v>822</v>
      </c>
      <c r="F2" s="897"/>
    </row>
    <row r="3" spans="1:6" s="32" customFormat="1" ht="54" customHeight="1" thickBot="1">
      <c r="A3" s="659" t="s">
        <v>850</v>
      </c>
      <c r="B3" s="660" t="s">
        <v>823</v>
      </c>
      <c r="C3" s="661" t="str">
        <f>+CONCATENATE(Z_ALAPADATOK!B1,". évi tervezett támogatás összesen")</f>
        <v>2020. évi tervezett támogatás összesen</v>
      </c>
      <c r="D3" s="661" t="s">
        <v>824</v>
      </c>
      <c r="E3" s="662" t="s">
        <v>825</v>
      </c>
      <c r="F3" s="897"/>
    </row>
    <row r="4" spans="1:6" s="667" customFormat="1" ht="13.5" thickBot="1">
      <c r="A4" s="663" t="s">
        <v>386</v>
      </c>
      <c r="B4" s="664" t="s">
        <v>387</v>
      </c>
      <c r="C4" s="665" t="s">
        <v>388</v>
      </c>
      <c r="D4" s="665" t="s">
        <v>390</v>
      </c>
      <c r="E4" s="666" t="s">
        <v>389</v>
      </c>
      <c r="F4" s="897"/>
    </row>
    <row r="5" spans="1:6" ht="14.25">
      <c r="A5" s="782" t="s">
        <v>916</v>
      </c>
      <c r="B5" s="783" t="s">
        <v>917</v>
      </c>
      <c r="C5" s="786">
        <v>50059400</v>
      </c>
      <c r="D5" s="788">
        <v>63431330</v>
      </c>
      <c r="E5" s="788">
        <v>63431330</v>
      </c>
      <c r="F5" s="897"/>
    </row>
    <row r="6" spans="1:6" ht="12.75" customHeight="1">
      <c r="A6" s="784" t="s">
        <v>918</v>
      </c>
      <c r="B6" s="785" t="s">
        <v>919</v>
      </c>
      <c r="C6" s="786">
        <v>13784840</v>
      </c>
      <c r="D6" s="788">
        <v>14459654</v>
      </c>
      <c r="E6" s="788">
        <v>14459654</v>
      </c>
      <c r="F6" s="897"/>
    </row>
    <row r="7" spans="1:6" ht="14.25">
      <c r="A7" s="784" t="s">
        <v>915</v>
      </c>
      <c r="B7" s="785" t="s">
        <v>920</v>
      </c>
      <c r="C7" s="786">
        <v>7000000</v>
      </c>
      <c r="D7" s="788">
        <v>7000000</v>
      </c>
      <c r="E7" s="788">
        <v>7000000</v>
      </c>
      <c r="F7" s="897"/>
    </row>
    <row r="8" spans="1:6" ht="14.25">
      <c r="A8" s="784" t="s">
        <v>921</v>
      </c>
      <c r="B8" s="639" t="s">
        <v>922</v>
      </c>
      <c r="C8" s="789">
        <v>5100</v>
      </c>
      <c r="D8" s="788">
        <v>5100</v>
      </c>
      <c r="E8" s="788">
        <v>5100</v>
      </c>
      <c r="F8" s="897"/>
    </row>
    <row r="9" spans="1:6" ht="14.25">
      <c r="A9" s="784" t="s">
        <v>923</v>
      </c>
      <c r="B9" s="785" t="s">
        <v>924</v>
      </c>
      <c r="C9" s="786">
        <v>-2404340</v>
      </c>
      <c r="D9" s="788">
        <v>-2404340</v>
      </c>
      <c r="E9" s="788">
        <v>-2404340</v>
      </c>
      <c r="F9" s="897"/>
    </row>
    <row r="10" spans="1:6" ht="14.25">
      <c r="A10" s="784" t="s">
        <v>925</v>
      </c>
      <c r="B10" s="785" t="s">
        <v>926</v>
      </c>
      <c r="C10" s="786">
        <v>840800</v>
      </c>
      <c r="D10" s="788">
        <v>840800</v>
      </c>
      <c r="E10" s="788">
        <v>840800</v>
      </c>
      <c r="F10" s="897"/>
    </row>
    <row r="11" spans="1:6" ht="14.25">
      <c r="A11" s="784" t="s">
        <v>927</v>
      </c>
      <c r="B11" s="785" t="s">
        <v>928</v>
      </c>
      <c r="C11" s="786">
        <v>70659100</v>
      </c>
      <c r="D11" s="788">
        <v>79185120</v>
      </c>
      <c r="E11" s="788">
        <v>79185120</v>
      </c>
      <c r="F11" s="897"/>
    </row>
    <row r="12" spans="1:6" ht="14.25">
      <c r="A12" s="784" t="s">
        <v>929</v>
      </c>
      <c r="B12" s="785" t="s">
        <v>930</v>
      </c>
      <c r="C12" s="786">
        <v>16999000</v>
      </c>
      <c r="D12" s="788">
        <v>16999000</v>
      </c>
      <c r="E12" s="788">
        <v>16999000</v>
      </c>
      <c r="F12" s="897"/>
    </row>
    <row r="13" spans="1:6" ht="14.25">
      <c r="A13" s="784" t="s">
        <v>931</v>
      </c>
      <c r="B13" s="785" t="s">
        <v>932</v>
      </c>
      <c r="C13" s="786">
        <v>1568640</v>
      </c>
      <c r="D13" s="788">
        <v>2091520</v>
      </c>
      <c r="E13" s="788">
        <v>2091520</v>
      </c>
      <c r="F13" s="897"/>
    </row>
    <row r="14" spans="1:6" ht="14.25">
      <c r="A14" s="784" t="s">
        <v>933</v>
      </c>
      <c r="B14" s="785" t="s">
        <v>934</v>
      </c>
      <c r="C14" s="786">
        <v>31325184</v>
      </c>
      <c r="D14" s="788">
        <v>29059263</v>
      </c>
      <c r="E14" s="788">
        <v>29059263</v>
      </c>
      <c r="F14" s="897"/>
    </row>
    <row r="15" spans="1:6" ht="14.25">
      <c r="A15" s="784"/>
      <c r="B15" s="785" t="s">
        <v>938</v>
      </c>
      <c r="C15" s="786"/>
      <c r="D15" s="788">
        <v>823284</v>
      </c>
      <c r="E15" s="788">
        <v>823284</v>
      </c>
      <c r="F15" s="897"/>
    </row>
    <row r="16" spans="1:6" ht="14.25">
      <c r="A16" s="784" t="s">
        <v>935</v>
      </c>
      <c r="B16" s="785" t="s">
        <v>936</v>
      </c>
      <c r="C16" s="786">
        <v>3053691</v>
      </c>
      <c r="D16" s="788">
        <v>3053691</v>
      </c>
      <c r="E16" s="788">
        <v>3053691</v>
      </c>
      <c r="F16" s="897"/>
    </row>
    <row r="17" spans="1:6" ht="14.25">
      <c r="A17" s="784"/>
      <c r="B17" s="790" t="s">
        <v>937</v>
      </c>
      <c r="C17" s="791"/>
      <c r="D17" s="788">
        <v>1343632</v>
      </c>
      <c r="E17" s="788">
        <v>1343632</v>
      </c>
      <c r="F17" s="897"/>
    </row>
    <row r="18" spans="1:6" ht="14.25">
      <c r="A18" s="668"/>
      <c r="B18" s="669" t="s">
        <v>939</v>
      </c>
      <c r="C18" s="787"/>
      <c r="D18" s="788">
        <v>6663750</v>
      </c>
      <c r="E18" s="788">
        <v>6663750</v>
      </c>
      <c r="F18" s="897"/>
    </row>
    <row r="19" spans="1:6" ht="15" thickBot="1">
      <c r="A19" s="792"/>
      <c r="B19" s="793" t="s">
        <v>335</v>
      </c>
      <c r="C19" s="794"/>
      <c r="D19" s="795">
        <v>99946</v>
      </c>
      <c r="E19" s="795">
        <v>99946</v>
      </c>
      <c r="F19" s="897"/>
    </row>
    <row r="20" spans="1:6" s="673" customFormat="1" ht="19.5" customHeight="1" thickBot="1">
      <c r="A20" s="670"/>
      <c r="B20" s="671" t="s">
        <v>37</v>
      </c>
      <c r="C20" s="672">
        <f>SUM(C5:C18)</f>
        <v>192891415</v>
      </c>
      <c r="D20" s="672">
        <f>SUM(D5:D19)</f>
        <v>222651750</v>
      </c>
      <c r="E20" s="672">
        <f>SUM(E5:E19)</f>
        <v>222651750</v>
      </c>
      <c r="F20" s="897"/>
    </row>
    <row r="21" spans="1:2" ht="12.75">
      <c r="A21" s="899" t="s">
        <v>851</v>
      </c>
      <c r="B21" s="899"/>
    </row>
  </sheetData>
  <sheetProtection/>
  <mergeCells count="4">
    <mergeCell ref="B1:E1"/>
    <mergeCell ref="F1:F20"/>
    <mergeCell ref="B2:D2"/>
    <mergeCell ref="A21:B2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6"/>
  <sheetViews>
    <sheetView zoomScale="120" zoomScaleNormal="120" zoomScaleSheetLayoutView="100" workbookViewId="0" topLeftCell="A1">
      <selection activeCell="A2" sqref="A2:E2"/>
    </sheetView>
  </sheetViews>
  <sheetFormatPr defaultColWidth="9.00390625" defaultRowHeight="12.75"/>
  <cols>
    <col min="1" max="1" width="9.00390625" style="154" customWidth="1"/>
    <col min="2" max="2" width="68.875" style="154" customWidth="1"/>
    <col min="3" max="3" width="18.875" style="154" customWidth="1"/>
    <col min="4" max="5" width="18.875" style="155" customWidth="1"/>
    <col min="6" max="6" width="9.375" style="176" customWidth="1"/>
    <col min="7" max="7" width="15.625" style="176" bestFit="1" customWidth="1"/>
    <col min="8" max="16384" width="9.375" style="176" customWidth="1"/>
  </cols>
  <sheetData>
    <row r="1" spans="1:5" ht="15.75">
      <c r="A1" s="814" t="str">
        <f>CONCATENATE("24. melléklet ",Z_ALAPADATOK!A7," ",Z_ALAPADATOK!B7," ",Z_ALAPADATOK!C7," ",Z_ALAPADATOK!D7," ",Z_ALAPADATOK!E7," ",Z_ALAPADATOK!F7," ",Z_ALAPADATOK!G7," ",Z_ALAPADATOK!H7)</f>
        <v>24. melléklet a 8 / 2021. ( V.25 ) önkormányzati rendelethez</v>
      </c>
      <c r="B1" s="815"/>
      <c r="C1" s="815"/>
      <c r="D1" s="815"/>
      <c r="E1" s="815"/>
    </row>
    <row r="2" spans="1:5" ht="15.75">
      <c r="A2" s="816" t="str">
        <f>CONCATENATE(Z_ALAPADATOK!A3)</f>
        <v>BEKECS KÖZSÉG Önkormányzata</v>
      </c>
      <c r="B2" s="817"/>
      <c r="C2" s="817"/>
      <c r="D2" s="817"/>
      <c r="E2" s="817"/>
    </row>
    <row r="3" spans="1:5" ht="15.75">
      <c r="A3" s="816" t="str">
        <f>CONCATENATE(Z_ALAPADATOK!B1,". ÉVI ZÁRSZÁMADÁSÁNAK PÉNZÜGYI MÉRLEGE")</f>
        <v>2020. ÉVI ZÁRSZÁMADÁSÁNAK PÉNZÜGYI MÉRLEGE</v>
      </c>
      <c r="B3" s="817"/>
      <c r="C3" s="817"/>
      <c r="D3" s="817"/>
      <c r="E3" s="817"/>
    </row>
    <row r="4" spans="1:5" ht="15.75" customHeight="1">
      <c r="A4" s="810" t="s">
        <v>3</v>
      </c>
      <c r="B4" s="810"/>
      <c r="C4" s="810"/>
      <c r="D4" s="810"/>
      <c r="E4" s="810"/>
    </row>
    <row r="5" spans="1:5" ht="15.75" customHeight="1" thickBot="1">
      <c r="A5" s="599" t="s">
        <v>100</v>
      </c>
      <c r="B5" s="599"/>
      <c r="C5" s="599"/>
      <c r="D5" s="600"/>
      <c r="E5" s="600"/>
    </row>
    <row r="6" spans="1:5" ht="15.75" customHeight="1">
      <c r="A6" s="905" t="s">
        <v>51</v>
      </c>
      <c r="B6" s="907" t="s">
        <v>5</v>
      </c>
      <c r="C6" s="909" t="str">
        <f>CONCATENATE(Z_ALAPADATOK!B1-1," évi tény")</f>
        <v>2019 évi tény</v>
      </c>
      <c r="D6" s="911" t="str">
        <f>CONCATENATE(Z_ALAPADATOK!B1,". évi")</f>
        <v>2020. évi</v>
      </c>
      <c r="E6" s="912"/>
    </row>
    <row r="7" spans="1:5" ht="37.5" customHeight="1" thickBot="1">
      <c r="A7" s="906"/>
      <c r="B7" s="908"/>
      <c r="C7" s="910"/>
      <c r="D7" s="601" t="s">
        <v>451</v>
      </c>
      <c r="E7" s="307" t="s">
        <v>446</v>
      </c>
    </row>
    <row r="8" spans="1:5" s="177" customFormat="1" ht="12" customHeight="1" thickBot="1">
      <c r="A8" s="602" t="s">
        <v>386</v>
      </c>
      <c r="B8" s="603" t="s">
        <v>387</v>
      </c>
      <c r="C8" s="603" t="s">
        <v>388</v>
      </c>
      <c r="D8" s="603" t="s">
        <v>389</v>
      </c>
      <c r="E8" s="604" t="s">
        <v>391</v>
      </c>
    </row>
    <row r="9" spans="1:5" s="178" customFormat="1" ht="12" customHeight="1" thickBot="1">
      <c r="A9" s="18" t="s">
        <v>6</v>
      </c>
      <c r="B9" s="365" t="s">
        <v>162</v>
      </c>
      <c r="C9" s="166">
        <f>+C10+C11+C12+C13+C14+C15</f>
        <v>214440107</v>
      </c>
      <c r="D9" s="166">
        <f>+D10+D11+D12+D13+D14+D15</f>
        <v>222651750</v>
      </c>
      <c r="E9" s="102">
        <f>+E10+E11+E12+E13+E14+E15</f>
        <v>222651750</v>
      </c>
    </row>
    <row r="10" spans="1:5" s="178" customFormat="1" ht="12" customHeight="1">
      <c r="A10" s="13" t="s">
        <v>63</v>
      </c>
      <c r="B10" s="366" t="s">
        <v>163</v>
      </c>
      <c r="C10" s="168">
        <v>71636950</v>
      </c>
      <c r="D10" s="168">
        <v>83332544</v>
      </c>
      <c r="E10" s="168">
        <v>83332544</v>
      </c>
    </row>
    <row r="11" spans="1:5" s="178" customFormat="1" ht="12" customHeight="1">
      <c r="A11" s="12" t="s">
        <v>64</v>
      </c>
      <c r="B11" s="367" t="s">
        <v>164</v>
      </c>
      <c r="C11" s="167">
        <v>71208909</v>
      </c>
      <c r="D11" s="167">
        <v>79185120</v>
      </c>
      <c r="E11" s="167">
        <v>79185120</v>
      </c>
    </row>
    <row r="12" spans="1:5" s="178" customFormat="1" ht="12" customHeight="1">
      <c r="A12" s="12" t="s">
        <v>65</v>
      </c>
      <c r="B12" s="367" t="s">
        <v>165</v>
      </c>
      <c r="C12" s="167">
        <v>48276115</v>
      </c>
      <c r="D12" s="167">
        <v>48973067</v>
      </c>
      <c r="E12" s="167">
        <v>48973067</v>
      </c>
    </row>
    <row r="13" spans="1:5" s="178" customFormat="1" ht="12" customHeight="1">
      <c r="A13" s="12" t="s">
        <v>66</v>
      </c>
      <c r="B13" s="367" t="s">
        <v>166</v>
      </c>
      <c r="C13" s="167">
        <v>3366243</v>
      </c>
      <c r="D13" s="167">
        <v>4397323</v>
      </c>
      <c r="E13" s="167">
        <v>4397323</v>
      </c>
    </row>
    <row r="14" spans="1:5" s="178" customFormat="1" ht="12" customHeight="1">
      <c r="A14" s="12" t="s">
        <v>97</v>
      </c>
      <c r="B14" s="367" t="s">
        <v>334</v>
      </c>
      <c r="C14" s="368">
        <v>19951890</v>
      </c>
      <c r="D14" s="167">
        <v>6663750</v>
      </c>
      <c r="E14" s="167">
        <v>6663750</v>
      </c>
    </row>
    <row r="15" spans="1:5" s="178" customFormat="1" ht="12" customHeight="1" thickBot="1">
      <c r="A15" s="14" t="s">
        <v>67</v>
      </c>
      <c r="B15" s="369" t="s">
        <v>335</v>
      </c>
      <c r="C15" s="370"/>
      <c r="D15" s="169">
        <v>99946</v>
      </c>
      <c r="E15" s="169">
        <v>99946</v>
      </c>
    </row>
    <row r="16" spans="1:5" s="178" customFormat="1" ht="12" customHeight="1" thickBot="1">
      <c r="A16" s="18" t="s">
        <v>7</v>
      </c>
      <c r="B16" s="371" t="s">
        <v>167</v>
      </c>
      <c r="C16" s="166">
        <f>+C17+C18+C19+C20+C21</f>
        <v>130878774</v>
      </c>
      <c r="D16" s="166">
        <f>+D17+D18+D19+D20+D21</f>
        <v>86306364</v>
      </c>
      <c r="E16" s="102">
        <f>+E17+E18+E19+E20+E21</f>
        <v>88956024</v>
      </c>
    </row>
    <row r="17" spans="1:5" s="178" customFormat="1" ht="12" customHeight="1">
      <c r="A17" s="13" t="s">
        <v>69</v>
      </c>
      <c r="B17" s="366" t="s">
        <v>168</v>
      </c>
      <c r="C17" s="168">
        <v>10709432</v>
      </c>
      <c r="D17" s="168">
        <v>2202842</v>
      </c>
      <c r="E17" s="104"/>
    </row>
    <row r="18" spans="1:5" s="178" customFormat="1" ht="12" customHeight="1">
      <c r="A18" s="12" t="s">
        <v>70</v>
      </c>
      <c r="B18" s="367" t="s">
        <v>169</v>
      </c>
      <c r="C18" s="167"/>
      <c r="D18" s="167"/>
      <c r="E18" s="103"/>
    </row>
    <row r="19" spans="1:5" s="178" customFormat="1" ht="12" customHeight="1">
      <c r="A19" s="12" t="s">
        <v>71</v>
      </c>
      <c r="B19" s="367" t="s">
        <v>326</v>
      </c>
      <c r="C19" s="167"/>
      <c r="D19" s="167"/>
      <c r="E19" s="103"/>
    </row>
    <row r="20" spans="1:5" s="178" customFormat="1" ht="12" customHeight="1">
      <c r="A20" s="12" t="s">
        <v>72</v>
      </c>
      <c r="B20" s="367" t="s">
        <v>327</v>
      </c>
      <c r="C20" s="167"/>
      <c r="D20" s="167"/>
      <c r="E20" s="103"/>
    </row>
    <row r="21" spans="1:5" s="178" customFormat="1" ht="12" customHeight="1">
      <c r="A21" s="12" t="s">
        <v>73</v>
      </c>
      <c r="B21" s="367" t="s">
        <v>170</v>
      </c>
      <c r="C21" s="167">
        <v>120169342</v>
      </c>
      <c r="D21" s="167">
        <v>84103522</v>
      </c>
      <c r="E21" s="103">
        <v>88956024</v>
      </c>
    </row>
    <row r="22" spans="1:5" s="178" customFormat="1" ht="12" customHeight="1" thickBot="1">
      <c r="A22" s="14" t="s">
        <v>80</v>
      </c>
      <c r="B22" s="369" t="s">
        <v>171</v>
      </c>
      <c r="C22" s="169"/>
      <c r="D22" s="169"/>
      <c r="E22" s="105"/>
    </row>
    <row r="23" spans="1:5" s="178" customFormat="1" ht="12" customHeight="1" thickBot="1">
      <c r="A23" s="18" t="s">
        <v>8</v>
      </c>
      <c r="B23" s="365" t="s">
        <v>172</v>
      </c>
      <c r="C23" s="166">
        <f>+C24+C25+C26+C27+C28</f>
        <v>127923537</v>
      </c>
      <c r="D23" s="166">
        <f>+D24+D25+D26+D27+D28</f>
        <v>22151088</v>
      </c>
      <c r="E23" s="102">
        <f>+E24+E25+E26+E27+E28</f>
        <v>44448258</v>
      </c>
    </row>
    <row r="24" spans="1:5" s="178" customFormat="1" ht="12" customHeight="1">
      <c r="A24" s="13" t="s">
        <v>52</v>
      </c>
      <c r="B24" s="366" t="s">
        <v>173</v>
      </c>
      <c r="C24" s="168"/>
      <c r="D24" s="168"/>
      <c r="E24" s="104"/>
    </row>
    <row r="25" spans="1:5" s="178" customFormat="1" ht="12" customHeight="1">
      <c r="A25" s="12" t="s">
        <v>53</v>
      </c>
      <c r="B25" s="367" t="s">
        <v>174</v>
      </c>
      <c r="C25" s="167"/>
      <c r="D25" s="167"/>
      <c r="E25" s="103"/>
    </row>
    <row r="26" spans="1:5" s="178" customFormat="1" ht="12" customHeight="1">
      <c r="A26" s="12" t="s">
        <v>54</v>
      </c>
      <c r="B26" s="367" t="s">
        <v>328</v>
      </c>
      <c r="C26" s="167"/>
      <c r="D26" s="167"/>
      <c r="E26" s="103"/>
    </row>
    <row r="27" spans="1:5" s="178" customFormat="1" ht="12" customHeight="1">
      <c r="A27" s="12" t="s">
        <v>55</v>
      </c>
      <c r="B27" s="367" t="s">
        <v>329</v>
      </c>
      <c r="C27" s="167"/>
      <c r="D27" s="167"/>
      <c r="E27" s="103"/>
    </row>
    <row r="28" spans="1:5" s="178" customFormat="1" ht="12" customHeight="1">
      <c r="A28" s="12" t="s">
        <v>110</v>
      </c>
      <c r="B28" s="367" t="s">
        <v>175</v>
      </c>
      <c r="C28" s="167">
        <v>127923537</v>
      </c>
      <c r="D28" s="167">
        <v>22151088</v>
      </c>
      <c r="E28" s="103">
        <v>44448258</v>
      </c>
    </row>
    <row r="29" spans="1:5" s="178" customFormat="1" ht="12" customHeight="1" thickBot="1">
      <c r="A29" s="14" t="s">
        <v>111</v>
      </c>
      <c r="B29" s="369" t="s">
        <v>176</v>
      </c>
      <c r="C29" s="169"/>
      <c r="D29" s="169"/>
      <c r="E29" s="105"/>
    </row>
    <row r="30" spans="1:5" s="178" customFormat="1" ht="12" customHeight="1" thickBot="1">
      <c r="A30" s="25" t="s">
        <v>112</v>
      </c>
      <c r="B30" s="19" t="s">
        <v>521</v>
      </c>
      <c r="C30" s="172">
        <f>SUM(C31:C37)</f>
        <v>69524240</v>
      </c>
      <c r="D30" s="172">
        <f>SUM(D31:D37)</f>
        <v>57069393</v>
      </c>
      <c r="E30" s="208">
        <f>SUM(E31:E37)</f>
        <v>58279048</v>
      </c>
    </row>
    <row r="31" spans="1:5" s="178" customFormat="1" ht="12" customHeight="1">
      <c r="A31" s="196" t="s">
        <v>177</v>
      </c>
      <c r="B31" s="179" t="s">
        <v>478</v>
      </c>
      <c r="C31" s="168">
        <v>47000</v>
      </c>
      <c r="D31" s="168"/>
      <c r="E31" s="104"/>
    </row>
    <row r="32" spans="1:5" s="178" customFormat="1" ht="12" customHeight="1">
      <c r="A32" s="197" t="s">
        <v>178</v>
      </c>
      <c r="B32" s="179" t="s">
        <v>863</v>
      </c>
      <c r="C32" s="167">
        <v>106356</v>
      </c>
      <c r="D32" s="167"/>
      <c r="E32" s="103"/>
    </row>
    <row r="33" spans="1:5" s="178" customFormat="1" ht="12" customHeight="1">
      <c r="A33" s="197" t="s">
        <v>179</v>
      </c>
      <c r="B33" s="179" t="s">
        <v>479</v>
      </c>
      <c r="C33" s="167">
        <v>57933507</v>
      </c>
      <c r="D33" s="167">
        <v>55069393</v>
      </c>
      <c r="E33" s="103">
        <v>57512908</v>
      </c>
    </row>
    <row r="34" spans="1:5" s="178" customFormat="1" ht="12" customHeight="1">
      <c r="A34" s="197" t="s">
        <v>180</v>
      </c>
      <c r="B34" s="179" t="s">
        <v>864</v>
      </c>
      <c r="C34" s="167"/>
      <c r="D34" s="167">
        <v>2000000</v>
      </c>
      <c r="E34" s="103">
        <v>742140</v>
      </c>
    </row>
    <row r="35" spans="1:5" s="178" customFormat="1" ht="12" customHeight="1">
      <c r="A35" s="197" t="s">
        <v>481</v>
      </c>
      <c r="B35" s="179" t="s">
        <v>181</v>
      </c>
      <c r="C35" s="167">
        <v>10276249</v>
      </c>
      <c r="D35" s="167"/>
      <c r="E35" s="103"/>
    </row>
    <row r="36" spans="1:5" s="178" customFormat="1" ht="12" customHeight="1">
      <c r="A36" s="197" t="s">
        <v>482</v>
      </c>
      <c r="B36" s="179" t="s">
        <v>846</v>
      </c>
      <c r="C36" s="167">
        <v>1161128</v>
      </c>
      <c r="D36" s="167"/>
      <c r="E36" s="103"/>
    </row>
    <row r="37" spans="1:5" s="178" customFormat="1" ht="12" customHeight="1" thickBot="1">
      <c r="A37" s="198" t="s">
        <v>483</v>
      </c>
      <c r="B37" s="179" t="s">
        <v>847</v>
      </c>
      <c r="C37" s="169"/>
      <c r="D37" s="169"/>
      <c r="E37" s="105">
        <v>24000</v>
      </c>
    </row>
    <row r="38" spans="1:5" s="178" customFormat="1" ht="12" customHeight="1" thickBot="1">
      <c r="A38" s="18" t="s">
        <v>10</v>
      </c>
      <c r="B38" s="365" t="s">
        <v>522</v>
      </c>
      <c r="C38" s="166">
        <f>SUM(C39:C49)</f>
        <v>25151265</v>
      </c>
      <c r="D38" s="166">
        <f>SUM(D39:D49)</f>
        <v>33256781</v>
      </c>
      <c r="E38" s="102">
        <f>SUM(E39:E49)</f>
        <v>23685219</v>
      </c>
    </row>
    <row r="39" spans="1:5" s="178" customFormat="1" ht="12" customHeight="1">
      <c r="A39" s="13" t="s">
        <v>56</v>
      </c>
      <c r="B39" s="366" t="s">
        <v>184</v>
      </c>
      <c r="C39" s="168"/>
      <c r="D39" s="168"/>
      <c r="E39" s="104"/>
    </row>
    <row r="40" spans="1:5" s="178" customFormat="1" ht="12" customHeight="1">
      <c r="A40" s="12" t="s">
        <v>57</v>
      </c>
      <c r="B40" s="367" t="s">
        <v>185</v>
      </c>
      <c r="C40" s="167">
        <v>11011093</v>
      </c>
      <c r="D40" s="167">
        <v>14000000</v>
      </c>
      <c r="E40" s="103">
        <v>10663141</v>
      </c>
    </row>
    <row r="41" spans="1:5" s="178" customFormat="1" ht="12" customHeight="1">
      <c r="A41" s="12" t="s">
        <v>58</v>
      </c>
      <c r="B41" s="367" t="s">
        <v>186</v>
      </c>
      <c r="C41" s="167">
        <v>628071</v>
      </c>
      <c r="D41" s="167">
        <v>3300000</v>
      </c>
      <c r="E41" s="103">
        <v>840601</v>
      </c>
    </row>
    <row r="42" spans="1:5" s="178" customFormat="1" ht="12" customHeight="1">
      <c r="A42" s="12" t="s">
        <v>114</v>
      </c>
      <c r="B42" s="367" t="s">
        <v>187</v>
      </c>
      <c r="C42" s="167"/>
      <c r="D42" s="167"/>
      <c r="E42" s="103"/>
    </row>
    <row r="43" spans="1:5" s="178" customFormat="1" ht="12" customHeight="1">
      <c r="A43" s="12" t="s">
        <v>115</v>
      </c>
      <c r="B43" s="367" t="s">
        <v>188</v>
      </c>
      <c r="C43" s="167">
        <v>6915549</v>
      </c>
      <c r="D43" s="167">
        <v>9731102</v>
      </c>
      <c r="E43" s="103">
        <v>7617648</v>
      </c>
    </row>
    <row r="44" spans="1:5" s="178" customFormat="1" ht="12" customHeight="1">
      <c r="A44" s="12" t="s">
        <v>116</v>
      </c>
      <c r="B44" s="367" t="s">
        <v>189</v>
      </c>
      <c r="C44" s="167">
        <v>4483221</v>
      </c>
      <c r="D44" s="167">
        <v>5975679</v>
      </c>
      <c r="E44" s="103">
        <v>4378046</v>
      </c>
    </row>
    <row r="45" spans="1:5" s="178" customFormat="1" ht="12" customHeight="1">
      <c r="A45" s="12" t="s">
        <v>117</v>
      </c>
      <c r="B45" s="367" t="s">
        <v>190</v>
      </c>
      <c r="C45" s="167"/>
      <c r="D45" s="167"/>
      <c r="E45" s="103">
        <v>2</v>
      </c>
    </row>
    <row r="46" spans="1:5" s="178" customFormat="1" ht="12" customHeight="1">
      <c r="A46" s="12" t="s">
        <v>118</v>
      </c>
      <c r="B46" s="367" t="s">
        <v>191</v>
      </c>
      <c r="C46" s="167">
        <v>153330</v>
      </c>
      <c r="D46" s="167">
        <v>150000</v>
      </c>
      <c r="E46" s="103">
        <v>127302</v>
      </c>
    </row>
    <row r="47" spans="1:5" s="178" customFormat="1" ht="12" customHeight="1">
      <c r="A47" s="12" t="s">
        <v>182</v>
      </c>
      <c r="B47" s="367" t="s">
        <v>192</v>
      </c>
      <c r="C47" s="167"/>
      <c r="D47" s="167"/>
      <c r="E47" s="103"/>
    </row>
    <row r="48" spans="1:5" s="178" customFormat="1" ht="12" customHeight="1">
      <c r="A48" s="12" t="s">
        <v>183</v>
      </c>
      <c r="B48" s="367" t="s">
        <v>338</v>
      </c>
      <c r="C48" s="170">
        <v>1939993</v>
      </c>
      <c r="D48" s="170"/>
      <c r="E48" s="106"/>
    </row>
    <row r="49" spans="1:5" s="178" customFormat="1" ht="12" customHeight="1" thickBot="1">
      <c r="A49" s="14" t="s">
        <v>337</v>
      </c>
      <c r="B49" s="369" t="s">
        <v>193</v>
      </c>
      <c r="C49" s="171">
        <v>20008</v>
      </c>
      <c r="D49" s="171">
        <v>100000</v>
      </c>
      <c r="E49" s="107">
        <v>58479</v>
      </c>
    </row>
    <row r="50" spans="1:5" s="178" customFormat="1" ht="12" customHeight="1" thickBot="1">
      <c r="A50" s="18" t="s">
        <v>11</v>
      </c>
      <c r="B50" s="365" t="s">
        <v>194</v>
      </c>
      <c r="C50" s="166">
        <f>SUM(C51:C55)</f>
        <v>0</v>
      </c>
      <c r="D50" s="166">
        <f>SUM(D51:D55)</f>
        <v>6200000</v>
      </c>
      <c r="E50" s="102">
        <f>SUM(E51:E55)</f>
        <v>2266874</v>
      </c>
    </row>
    <row r="51" spans="1:5" s="178" customFormat="1" ht="12" customHeight="1">
      <c r="A51" s="13" t="s">
        <v>59</v>
      </c>
      <c r="B51" s="366" t="s">
        <v>198</v>
      </c>
      <c r="C51" s="219"/>
      <c r="D51" s="219"/>
      <c r="E51" s="108"/>
    </row>
    <row r="52" spans="1:5" s="178" customFormat="1" ht="12" customHeight="1">
      <c r="A52" s="12" t="s">
        <v>60</v>
      </c>
      <c r="B52" s="367" t="s">
        <v>199</v>
      </c>
      <c r="C52" s="170"/>
      <c r="D52" s="170">
        <v>6200000</v>
      </c>
      <c r="E52" s="106">
        <v>2266874</v>
      </c>
    </row>
    <row r="53" spans="1:5" s="178" customFormat="1" ht="12" customHeight="1">
      <c r="A53" s="12" t="s">
        <v>195</v>
      </c>
      <c r="B53" s="367" t="s">
        <v>200</v>
      </c>
      <c r="C53" s="170"/>
      <c r="D53" s="170"/>
      <c r="E53" s="106"/>
    </row>
    <row r="54" spans="1:5" s="178" customFormat="1" ht="12" customHeight="1">
      <c r="A54" s="12" t="s">
        <v>196</v>
      </c>
      <c r="B54" s="367" t="s">
        <v>201</v>
      </c>
      <c r="C54" s="170"/>
      <c r="D54" s="170"/>
      <c r="E54" s="106"/>
    </row>
    <row r="55" spans="1:5" s="178" customFormat="1" ht="12" customHeight="1" thickBot="1">
      <c r="A55" s="14" t="s">
        <v>197</v>
      </c>
      <c r="B55" s="369" t="s">
        <v>202</v>
      </c>
      <c r="C55" s="171"/>
      <c r="D55" s="171"/>
      <c r="E55" s="107"/>
    </row>
    <row r="56" spans="1:5" s="178" customFormat="1" ht="13.5" thickBot="1">
      <c r="A56" s="18" t="s">
        <v>119</v>
      </c>
      <c r="B56" s="365" t="s">
        <v>203</v>
      </c>
      <c r="C56" s="166">
        <f>SUM(C57:C59)</f>
        <v>0</v>
      </c>
      <c r="D56" s="166">
        <f>SUM(D57:D59)</f>
        <v>0</v>
      </c>
      <c r="E56" s="102">
        <f>SUM(E57:E59)</f>
        <v>0</v>
      </c>
    </row>
    <row r="57" spans="1:5" s="178" customFormat="1" ht="12.75">
      <c r="A57" s="13" t="s">
        <v>61</v>
      </c>
      <c r="B57" s="366" t="s">
        <v>204</v>
      </c>
      <c r="C57" s="168"/>
      <c r="D57" s="168"/>
      <c r="E57" s="104"/>
    </row>
    <row r="58" spans="1:5" s="178" customFormat="1" ht="14.25" customHeight="1">
      <c r="A58" s="12" t="s">
        <v>62</v>
      </c>
      <c r="B58" s="367" t="s">
        <v>523</v>
      </c>
      <c r="C58" s="167"/>
      <c r="D58" s="167"/>
      <c r="E58" s="103"/>
    </row>
    <row r="59" spans="1:5" s="178" customFormat="1" ht="12.75">
      <c r="A59" s="12" t="s">
        <v>207</v>
      </c>
      <c r="B59" s="367" t="s">
        <v>205</v>
      </c>
      <c r="C59" s="167"/>
      <c r="D59" s="167"/>
      <c r="E59" s="103"/>
    </row>
    <row r="60" spans="1:5" s="178" customFormat="1" ht="13.5" thickBot="1">
      <c r="A60" s="14" t="s">
        <v>208</v>
      </c>
      <c r="B60" s="369" t="s">
        <v>206</v>
      </c>
      <c r="C60" s="169"/>
      <c r="D60" s="169"/>
      <c r="E60" s="105"/>
    </row>
    <row r="61" spans="1:5" s="178" customFormat="1" ht="13.5" thickBot="1">
      <c r="A61" s="18" t="s">
        <v>13</v>
      </c>
      <c r="B61" s="371" t="s">
        <v>209</v>
      </c>
      <c r="C61" s="166">
        <f>SUM(C62:C64)</f>
        <v>0</v>
      </c>
      <c r="D61" s="166">
        <f>SUM(D62:D64)</f>
        <v>2936000</v>
      </c>
      <c r="E61" s="102">
        <f>SUM(E62:E64)</f>
        <v>0</v>
      </c>
    </row>
    <row r="62" spans="1:5" s="178" customFormat="1" ht="12.75">
      <c r="A62" s="12" t="s">
        <v>120</v>
      </c>
      <c r="B62" s="366" t="s">
        <v>211</v>
      </c>
      <c r="C62" s="170"/>
      <c r="D62" s="170"/>
      <c r="E62" s="106"/>
    </row>
    <row r="63" spans="1:5" s="178" customFormat="1" ht="12.75" customHeight="1">
      <c r="A63" s="12" t="s">
        <v>121</v>
      </c>
      <c r="B63" s="367" t="s">
        <v>524</v>
      </c>
      <c r="C63" s="170"/>
      <c r="D63" s="170"/>
      <c r="E63" s="106"/>
    </row>
    <row r="64" spans="1:5" s="178" customFormat="1" ht="12.75">
      <c r="A64" s="12" t="s">
        <v>144</v>
      </c>
      <c r="B64" s="367" t="s">
        <v>212</v>
      </c>
      <c r="C64" s="170"/>
      <c r="D64" s="170">
        <v>2936000</v>
      </c>
      <c r="E64" s="106"/>
    </row>
    <row r="65" spans="1:5" s="178" customFormat="1" ht="13.5" thickBot="1">
      <c r="A65" s="12" t="s">
        <v>210</v>
      </c>
      <c r="B65" s="369" t="s">
        <v>213</v>
      </c>
      <c r="C65" s="170"/>
      <c r="D65" s="170"/>
      <c r="E65" s="106"/>
    </row>
    <row r="66" spans="1:5" s="178" customFormat="1" ht="13.5" thickBot="1">
      <c r="A66" s="18" t="s">
        <v>14</v>
      </c>
      <c r="B66" s="365" t="s">
        <v>214</v>
      </c>
      <c r="C66" s="172">
        <f>+C9+C16+C23+C30+C38+C50+C56+C61</f>
        <v>567917923</v>
      </c>
      <c r="D66" s="172">
        <f>+D9+D16+D23+D30+D38+D50+D56+D61</f>
        <v>430571376</v>
      </c>
      <c r="E66" s="208">
        <f>+E9+E16+E23+E30+E38+E50+E56+E61</f>
        <v>440287173</v>
      </c>
    </row>
    <row r="67" spans="1:5" s="178" customFormat="1" ht="13.5" thickBot="1">
      <c r="A67" s="220" t="s">
        <v>215</v>
      </c>
      <c r="B67" s="371" t="s">
        <v>525</v>
      </c>
      <c r="C67" s="166">
        <f>SUM(C68:C70)</f>
        <v>0</v>
      </c>
      <c r="D67" s="166">
        <f>SUM(D68:D70)</f>
        <v>0</v>
      </c>
      <c r="E67" s="102">
        <f>SUM(E68:E70)</f>
        <v>0</v>
      </c>
    </row>
    <row r="68" spans="1:5" s="178" customFormat="1" ht="12.75">
      <c r="A68" s="12" t="s">
        <v>244</v>
      </c>
      <c r="B68" s="366" t="s">
        <v>217</v>
      </c>
      <c r="C68" s="170"/>
      <c r="D68" s="170"/>
      <c r="E68" s="106"/>
    </row>
    <row r="69" spans="1:5" s="178" customFormat="1" ht="12.75">
      <c r="A69" s="12" t="s">
        <v>253</v>
      </c>
      <c r="B69" s="367" t="s">
        <v>218</v>
      </c>
      <c r="C69" s="170"/>
      <c r="D69" s="170"/>
      <c r="E69" s="106"/>
    </row>
    <row r="70" spans="1:5" s="178" customFormat="1" ht="13.5" thickBot="1">
      <c r="A70" s="12" t="s">
        <v>254</v>
      </c>
      <c r="B70" s="226" t="s">
        <v>865</v>
      </c>
      <c r="C70" s="170"/>
      <c r="D70" s="170"/>
      <c r="E70" s="106"/>
    </row>
    <row r="71" spans="1:5" s="178" customFormat="1" ht="13.5" thickBot="1">
      <c r="A71" s="220" t="s">
        <v>220</v>
      </c>
      <c r="B71" s="371" t="s">
        <v>221</v>
      </c>
      <c r="C71" s="166">
        <f>SUM(C72:C75)</f>
        <v>0</v>
      </c>
      <c r="D71" s="166">
        <f>SUM(D72:D75)</f>
        <v>0</v>
      </c>
      <c r="E71" s="102">
        <f>SUM(E72:E75)</f>
        <v>0</v>
      </c>
    </row>
    <row r="72" spans="1:5" s="178" customFormat="1" ht="12.75">
      <c r="A72" s="12" t="s">
        <v>98</v>
      </c>
      <c r="B72" s="372" t="s">
        <v>222</v>
      </c>
      <c r="C72" s="170"/>
      <c r="D72" s="170"/>
      <c r="E72" s="106"/>
    </row>
    <row r="73" spans="1:5" s="178" customFormat="1" ht="12.75">
      <c r="A73" s="12" t="s">
        <v>99</v>
      </c>
      <c r="B73" s="372" t="s">
        <v>491</v>
      </c>
      <c r="C73" s="170"/>
      <c r="D73" s="170"/>
      <c r="E73" s="106"/>
    </row>
    <row r="74" spans="1:5" s="178" customFormat="1" ht="12" customHeight="1">
      <c r="A74" s="12" t="s">
        <v>245</v>
      </c>
      <c r="B74" s="372" t="s">
        <v>223</v>
      </c>
      <c r="C74" s="170"/>
      <c r="D74" s="170"/>
      <c r="E74" s="106"/>
    </row>
    <row r="75" spans="1:5" s="178" customFormat="1" ht="12" customHeight="1" thickBot="1">
      <c r="A75" s="12" t="s">
        <v>246</v>
      </c>
      <c r="B75" s="373" t="s">
        <v>492</v>
      </c>
      <c r="C75" s="170"/>
      <c r="D75" s="170"/>
      <c r="E75" s="106"/>
    </row>
    <row r="76" spans="1:5" s="178" customFormat="1" ht="12" customHeight="1" thickBot="1">
      <c r="A76" s="220" t="s">
        <v>224</v>
      </c>
      <c r="B76" s="371" t="s">
        <v>225</v>
      </c>
      <c r="C76" s="166">
        <f>SUM(C77:C78)</f>
        <v>0</v>
      </c>
      <c r="D76" s="166">
        <f>SUM(D77:D78)</f>
        <v>222819433</v>
      </c>
      <c r="E76" s="102">
        <f>SUM(E77:E78)</f>
        <v>221081331</v>
      </c>
    </row>
    <row r="77" spans="1:5" s="178" customFormat="1" ht="12" customHeight="1">
      <c r="A77" s="12" t="s">
        <v>247</v>
      </c>
      <c r="B77" s="366" t="s">
        <v>226</v>
      </c>
      <c r="C77" s="170"/>
      <c r="D77" s="170">
        <v>222819433</v>
      </c>
      <c r="E77" s="106">
        <v>221081331</v>
      </c>
    </row>
    <row r="78" spans="1:5" s="178" customFormat="1" ht="12" customHeight="1" thickBot="1">
      <c r="A78" s="12" t="s">
        <v>248</v>
      </c>
      <c r="B78" s="369" t="s">
        <v>227</v>
      </c>
      <c r="C78" s="170"/>
      <c r="D78" s="170"/>
      <c r="E78" s="106"/>
    </row>
    <row r="79" spans="1:5" s="178" customFormat="1" ht="12" customHeight="1" thickBot="1">
      <c r="A79" s="220" t="s">
        <v>228</v>
      </c>
      <c r="B79" s="371" t="s">
        <v>229</v>
      </c>
      <c r="C79" s="166">
        <f>SUM(C80:C82)</f>
        <v>7715657</v>
      </c>
      <c r="D79" s="166">
        <f>SUM(D80:D82)</f>
        <v>0</v>
      </c>
      <c r="E79" s="102">
        <f>SUM(E80:E82)</f>
        <v>9042854</v>
      </c>
    </row>
    <row r="80" spans="1:5" s="178" customFormat="1" ht="12" customHeight="1">
      <c r="A80" s="12" t="s">
        <v>249</v>
      </c>
      <c r="B80" s="366" t="s">
        <v>230</v>
      </c>
      <c r="C80" s="170">
        <v>7715657</v>
      </c>
      <c r="D80" s="170"/>
      <c r="E80" s="106">
        <v>9042854</v>
      </c>
    </row>
    <row r="81" spans="1:5" s="178" customFormat="1" ht="12" customHeight="1">
      <c r="A81" s="12" t="s">
        <v>250</v>
      </c>
      <c r="B81" s="367" t="s">
        <v>231</v>
      </c>
      <c r="C81" s="170"/>
      <c r="D81" s="170"/>
      <c r="E81" s="106"/>
    </row>
    <row r="82" spans="1:5" s="178" customFormat="1" ht="12" customHeight="1" thickBot="1">
      <c r="A82" s="12" t="s">
        <v>251</v>
      </c>
      <c r="B82" s="374" t="s">
        <v>526</v>
      </c>
      <c r="C82" s="170"/>
      <c r="D82" s="170"/>
      <c r="E82" s="106"/>
    </row>
    <row r="83" spans="1:5" s="178" customFormat="1" ht="12" customHeight="1" thickBot="1">
      <c r="A83" s="220" t="s">
        <v>232</v>
      </c>
      <c r="B83" s="371" t="s">
        <v>252</v>
      </c>
      <c r="C83" s="166">
        <f>SUM(C84:C87)</f>
        <v>0</v>
      </c>
      <c r="D83" s="166">
        <f>SUM(D84:D87)</f>
        <v>0</v>
      </c>
      <c r="E83" s="102">
        <f>SUM(E84:E87)</f>
        <v>0</v>
      </c>
    </row>
    <row r="84" spans="1:5" s="178" customFormat="1" ht="12" customHeight="1">
      <c r="A84" s="375" t="s">
        <v>233</v>
      </c>
      <c r="B84" s="366" t="s">
        <v>234</v>
      </c>
      <c r="C84" s="170"/>
      <c r="D84" s="170"/>
      <c r="E84" s="106"/>
    </row>
    <row r="85" spans="1:5" s="178" customFormat="1" ht="12" customHeight="1">
      <c r="A85" s="376" t="s">
        <v>235</v>
      </c>
      <c r="B85" s="367" t="s">
        <v>236</v>
      </c>
      <c r="C85" s="170"/>
      <c r="D85" s="170"/>
      <c r="E85" s="106"/>
    </row>
    <row r="86" spans="1:5" s="178" customFormat="1" ht="12" customHeight="1">
      <c r="A86" s="376" t="s">
        <v>237</v>
      </c>
      <c r="B86" s="367" t="s">
        <v>238</v>
      </c>
      <c r="C86" s="170"/>
      <c r="D86" s="170"/>
      <c r="E86" s="106"/>
    </row>
    <row r="87" spans="1:5" s="178" customFormat="1" ht="12" customHeight="1" thickBot="1">
      <c r="A87" s="377" t="s">
        <v>239</v>
      </c>
      <c r="B87" s="369" t="s">
        <v>240</v>
      </c>
      <c r="C87" s="170"/>
      <c r="D87" s="170"/>
      <c r="E87" s="106"/>
    </row>
    <row r="88" spans="1:5" s="178" customFormat="1" ht="12" customHeight="1" thickBot="1">
      <c r="A88" s="220" t="s">
        <v>241</v>
      </c>
      <c r="B88" s="371" t="s">
        <v>242</v>
      </c>
      <c r="C88" s="222"/>
      <c r="D88" s="222"/>
      <c r="E88" s="223"/>
    </row>
    <row r="89" spans="1:5" s="178" customFormat="1" ht="13.5" customHeight="1" thickBot="1">
      <c r="A89" s="220" t="s">
        <v>243</v>
      </c>
      <c r="B89" s="378" t="s">
        <v>527</v>
      </c>
      <c r="C89" s="172">
        <f>+C67+C71+C76+C79+C83+C88</f>
        <v>7715657</v>
      </c>
      <c r="D89" s="172">
        <f>+D67+D71+D76+D79+D83+D88</f>
        <v>222819433</v>
      </c>
      <c r="E89" s="208">
        <f>+E67+E71+E76+E79+E83+E88</f>
        <v>230124185</v>
      </c>
    </row>
    <row r="90" spans="1:5" s="178" customFormat="1" ht="12" customHeight="1" thickBot="1">
      <c r="A90" s="221" t="s">
        <v>255</v>
      </c>
      <c r="B90" s="379" t="s">
        <v>528</v>
      </c>
      <c r="C90" s="172">
        <f>+C66+C89</f>
        <v>575633580</v>
      </c>
      <c r="D90" s="172">
        <f>+D66+D89</f>
        <v>653390809</v>
      </c>
      <c r="E90" s="208">
        <f>+E66+E89</f>
        <v>670411358</v>
      </c>
    </row>
    <row r="91" spans="1:5" ht="16.5" customHeight="1">
      <c r="A91" s="811" t="s">
        <v>34</v>
      </c>
      <c r="B91" s="811"/>
      <c r="C91" s="811"/>
      <c r="D91" s="811"/>
      <c r="E91" s="811"/>
    </row>
    <row r="92" spans="1:5" s="188" customFormat="1" ht="16.5" customHeight="1" thickBot="1">
      <c r="A92" s="380" t="s">
        <v>101</v>
      </c>
      <c r="B92" s="380"/>
      <c r="C92" s="380"/>
      <c r="D92" s="60"/>
      <c r="E92" s="60">
        <f>E5</f>
        <v>0</v>
      </c>
    </row>
    <row r="93" spans="1:5" s="188" customFormat="1" ht="16.5" customHeight="1">
      <c r="A93" s="900" t="s">
        <v>51</v>
      </c>
      <c r="B93" s="807" t="s">
        <v>421</v>
      </c>
      <c r="C93" s="822" t="str">
        <f>+C6</f>
        <v>2019 évi tény</v>
      </c>
      <c r="D93" s="903" t="str">
        <f>+D6</f>
        <v>2020. évi</v>
      </c>
      <c r="E93" s="904"/>
    </row>
    <row r="94" spans="1:5" ht="37.5" customHeight="1" thickBot="1">
      <c r="A94" s="901"/>
      <c r="B94" s="902"/>
      <c r="C94" s="823"/>
      <c r="D94" s="246" t="s">
        <v>451</v>
      </c>
      <c r="E94" s="364" t="s">
        <v>446</v>
      </c>
    </row>
    <row r="95" spans="1:5" s="177" customFormat="1" ht="12" customHeight="1" thickBot="1">
      <c r="A95" s="25" t="s">
        <v>386</v>
      </c>
      <c r="B95" s="26" t="s">
        <v>387</v>
      </c>
      <c r="C95" s="26" t="s">
        <v>388</v>
      </c>
      <c r="D95" s="26" t="s">
        <v>389</v>
      </c>
      <c r="E95" s="381" t="s">
        <v>391</v>
      </c>
    </row>
    <row r="96" spans="1:5" ht="12" customHeight="1" thickBot="1">
      <c r="A96" s="20" t="s">
        <v>6</v>
      </c>
      <c r="B96" s="24" t="s">
        <v>321</v>
      </c>
      <c r="C96" s="165">
        <f>SUM(C97:C101)</f>
        <v>395352831</v>
      </c>
      <c r="D96" s="165">
        <f>+D97+D98+D99+D100+D101+D114</f>
        <v>439261740</v>
      </c>
      <c r="E96" s="233">
        <f>+E97+E98+E99+E100+E101</f>
        <v>384495185</v>
      </c>
    </row>
    <row r="97" spans="1:5" ht="12" customHeight="1">
      <c r="A97" s="15" t="s">
        <v>63</v>
      </c>
      <c r="B97" s="382" t="s">
        <v>35</v>
      </c>
      <c r="C97" s="240">
        <v>173704928</v>
      </c>
      <c r="D97" s="240">
        <v>230143547</v>
      </c>
      <c r="E97" s="234">
        <v>213713954</v>
      </c>
    </row>
    <row r="98" spans="1:5" ht="12" customHeight="1">
      <c r="A98" s="12" t="s">
        <v>64</v>
      </c>
      <c r="B98" s="383" t="s">
        <v>122</v>
      </c>
      <c r="C98" s="167">
        <v>28223801</v>
      </c>
      <c r="D98" s="167">
        <v>35962543</v>
      </c>
      <c r="E98" s="103">
        <v>32330800</v>
      </c>
    </row>
    <row r="99" spans="1:5" ht="12" customHeight="1">
      <c r="A99" s="12" t="s">
        <v>65</v>
      </c>
      <c r="B99" s="383" t="s">
        <v>90</v>
      </c>
      <c r="C99" s="169">
        <v>151448359</v>
      </c>
      <c r="D99" s="169">
        <v>138114888</v>
      </c>
      <c r="E99" s="105">
        <v>114015045</v>
      </c>
    </row>
    <row r="100" spans="1:5" ht="12" customHeight="1">
      <c r="A100" s="12" t="s">
        <v>66</v>
      </c>
      <c r="B100" s="384" t="s">
        <v>123</v>
      </c>
      <c r="C100" s="169">
        <v>19322562</v>
      </c>
      <c r="D100" s="169">
        <v>17562350</v>
      </c>
      <c r="E100" s="105">
        <v>13704500</v>
      </c>
    </row>
    <row r="101" spans="1:5" ht="12" customHeight="1">
      <c r="A101" s="12" t="s">
        <v>75</v>
      </c>
      <c r="B101" s="385" t="s">
        <v>124</v>
      </c>
      <c r="C101" s="169">
        <v>22653181</v>
      </c>
      <c r="D101" s="169">
        <v>13693256</v>
      </c>
      <c r="E101" s="105">
        <v>10730886</v>
      </c>
    </row>
    <row r="102" spans="1:5" ht="12" customHeight="1">
      <c r="A102" s="12" t="s">
        <v>67</v>
      </c>
      <c r="B102" s="383" t="s">
        <v>344</v>
      </c>
      <c r="C102" s="169">
        <v>2573824</v>
      </c>
      <c r="D102" s="169">
        <v>24014</v>
      </c>
      <c r="E102" s="105">
        <v>24014</v>
      </c>
    </row>
    <row r="103" spans="1:5" ht="12" customHeight="1">
      <c r="A103" s="12" t="s">
        <v>68</v>
      </c>
      <c r="B103" s="386" t="s">
        <v>343</v>
      </c>
      <c r="C103" s="169"/>
      <c r="D103" s="169">
        <v>2202842</v>
      </c>
      <c r="E103" s="105"/>
    </row>
    <row r="104" spans="1:5" ht="12" customHeight="1">
      <c r="A104" s="12" t="s">
        <v>76</v>
      </c>
      <c r="B104" s="383" t="s">
        <v>342</v>
      </c>
      <c r="C104" s="169">
        <v>7848937</v>
      </c>
      <c r="D104" s="169"/>
      <c r="E104" s="105"/>
    </row>
    <row r="105" spans="1:5" ht="12" customHeight="1">
      <c r="A105" s="12" t="s">
        <v>77</v>
      </c>
      <c r="B105" s="383" t="s">
        <v>258</v>
      </c>
      <c r="C105" s="169"/>
      <c r="D105" s="169"/>
      <c r="E105" s="105"/>
    </row>
    <row r="106" spans="1:5" ht="12" customHeight="1">
      <c r="A106" s="12" t="s">
        <v>78</v>
      </c>
      <c r="B106" s="386" t="s">
        <v>259</v>
      </c>
      <c r="C106" s="169"/>
      <c r="D106" s="169"/>
      <c r="E106" s="105"/>
    </row>
    <row r="107" spans="1:5" ht="12" customHeight="1">
      <c r="A107" s="12" t="s">
        <v>79</v>
      </c>
      <c r="B107" s="386" t="s">
        <v>260</v>
      </c>
      <c r="C107" s="169"/>
      <c r="D107" s="169"/>
      <c r="E107" s="105"/>
    </row>
    <row r="108" spans="1:5" ht="12" customHeight="1">
      <c r="A108" s="12" t="s">
        <v>81</v>
      </c>
      <c r="B108" s="386" t="s">
        <v>261</v>
      </c>
      <c r="C108" s="169">
        <v>4933320</v>
      </c>
      <c r="D108" s="169">
        <v>6430000</v>
      </c>
      <c r="E108" s="105">
        <v>6425472</v>
      </c>
    </row>
    <row r="109" spans="1:5" ht="12" customHeight="1">
      <c r="A109" s="12" t="s">
        <v>125</v>
      </c>
      <c r="B109" s="386" t="s">
        <v>262</v>
      </c>
      <c r="C109" s="169"/>
      <c r="D109" s="169"/>
      <c r="E109" s="105"/>
    </row>
    <row r="110" spans="1:5" ht="12" customHeight="1">
      <c r="A110" s="12" t="s">
        <v>256</v>
      </c>
      <c r="B110" s="386" t="s">
        <v>263</v>
      </c>
      <c r="C110" s="169"/>
      <c r="D110" s="169"/>
      <c r="E110" s="105"/>
    </row>
    <row r="111" spans="1:5" ht="12" customHeight="1">
      <c r="A111" s="12" t="s">
        <v>257</v>
      </c>
      <c r="B111" s="386" t="s">
        <v>264</v>
      </c>
      <c r="C111" s="169"/>
      <c r="D111" s="169"/>
      <c r="E111" s="105"/>
    </row>
    <row r="112" spans="1:5" ht="12" customHeight="1">
      <c r="A112" s="12" t="s">
        <v>340</v>
      </c>
      <c r="B112" s="386" t="s">
        <v>265</v>
      </c>
      <c r="C112" s="169"/>
      <c r="D112" s="169"/>
      <c r="E112" s="105"/>
    </row>
    <row r="113" spans="1:5" ht="12" customHeight="1">
      <c r="A113" s="12" t="s">
        <v>341</v>
      </c>
      <c r="B113" s="383" t="s">
        <v>266</v>
      </c>
      <c r="C113" s="169">
        <v>7300100</v>
      </c>
      <c r="D113" s="169">
        <v>5036400</v>
      </c>
      <c r="E113" s="105">
        <v>4281400</v>
      </c>
    </row>
    <row r="114" spans="1:5" ht="12" customHeight="1">
      <c r="A114" s="11" t="s">
        <v>345</v>
      </c>
      <c r="B114" s="387" t="s">
        <v>36</v>
      </c>
      <c r="C114" s="169"/>
      <c r="D114" s="169">
        <v>3785156</v>
      </c>
      <c r="E114" s="105"/>
    </row>
    <row r="115" spans="1:5" ht="12" customHeight="1">
      <c r="A115" s="12" t="s">
        <v>346</v>
      </c>
      <c r="B115" s="387" t="s">
        <v>348</v>
      </c>
      <c r="C115" s="169"/>
      <c r="D115" s="169">
        <v>3785156</v>
      </c>
      <c r="E115" s="105"/>
    </row>
    <row r="116" spans="1:5" ht="12" customHeight="1" thickBot="1">
      <c r="A116" s="16" t="s">
        <v>347</v>
      </c>
      <c r="B116" s="388" t="s">
        <v>349</v>
      </c>
      <c r="C116" s="241"/>
      <c r="D116" s="241"/>
      <c r="E116" s="235"/>
    </row>
    <row r="117" spans="1:7" ht="12" customHeight="1" thickBot="1">
      <c r="A117" s="18" t="s">
        <v>7</v>
      </c>
      <c r="B117" s="23" t="s">
        <v>866</v>
      </c>
      <c r="C117" s="166">
        <f>+C118+C120+C122</f>
        <v>245106804</v>
      </c>
      <c r="D117" s="166">
        <f>+D118+D120+D122</f>
        <v>206413412</v>
      </c>
      <c r="E117" s="102">
        <f>+E118+E120+E122</f>
        <v>81026767</v>
      </c>
      <c r="G117" s="797"/>
    </row>
    <row r="118" spans="1:5" ht="12" customHeight="1">
      <c r="A118" s="13" t="s">
        <v>69</v>
      </c>
      <c r="B118" s="383" t="s">
        <v>143</v>
      </c>
      <c r="C118" s="168">
        <v>201370268</v>
      </c>
      <c r="D118" s="168">
        <v>192227008</v>
      </c>
      <c r="E118" s="104">
        <v>68448898</v>
      </c>
    </row>
    <row r="119" spans="1:5" ht="12" customHeight="1">
      <c r="A119" s="13" t="s">
        <v>70</v>
      </c>
      <c r="B119" s="387" t="s">
        <v>271</v>
      </c>
      <c r="C119" s="168"/>
      <c r="D119" s="168"/>
      <c r="E119" s="104"/>
    </row>
    <row r="120" spans="1:5" ht="15.75">
      <c r="A120" s="13" t="s">
        <v>71</v>
      </c>
      <c r="B120" s="387" t="s">
        <v>126</v>
      </c>
      <c r="C120" s="167">
        <v>43736536</v>
      </c>
      <c r="D120" s="167">
        <v>14186404</v>
      </c>
      <c r="E120" s="103">
        <v>12577869</v>
      </c>
    </row>
    <row r="121" spans="1:5" ht="12" customHeight="1">
      <c r="A121" s="13" t="s">
        <v>72</v>
      </c>
      <c r="B121" s="387" t="s">
        <v>272</v>
      </c>
      <c r="C121" s="167"/>
      <c r="D121" s="167"/>
      <c r="E121" s="103"/>
    </row>
    <row r="122" spans="1:5" ht="12" customHeight="1">
      <c r="A122" s="13" t="s">
        <v>73</v>
      </c>
      <c r="B122" s="369" t="s">
        <v>145</v>
      </c>
      <c r="C122" s="167"/>
      <c r="D122" s="167"/>
      <c r="E122" s="103"/>
    </row>
    <row r="123" spans="1:5" ht="15.75">
      <c r="A123" s="13" t="s">
        <v>80</v>
      </c>
      <c r="B123" s="367" t="s">
        <v>332</v>
      </c>
      <c r="C123" s="167"/>
      <c r="D123" s="167"/>
      <c r="E123" s="103"/>
    </row>
    <row r="124" spans="1:5" ht="15.75">
      <c r="A124" s="13" t="s">
        <v>82</v>
      </c>
      <c r="B124" s="389" t="s">
        <v>277</v>
      </c>
      <c r="C124" s="167"/>
      <c r="D124" s="167"/>
      <c r="E124" s="103"/>
    </row>
    <row r="125" spans="1:5" ht="12" customHeight="1">
      <c r="A125" s="13" t="s">
        <v>127</v>
      </c>
      <c r="B125" s="383" t="s">
        <v>260</v>
      </c>
      <c r="C125" s="167"/>
      <c r="D125" s="167"/>
      <c r="E125" s="103"/>
    </row>
    <row r="126" spans="1:5" ht="12" customHeight="1">
      <c r="A126" s="13" t="s">
        <v>128</v>
      </c>
      <c r="B126" s="383" t="s">
        <v>276</v>
      </c>
      <c r="C126" s="167"/>
      <c r="D126" s="167"/>
      <c r="E126" s="103"/>
    </row>
    <row r="127" spans="1:5" ht="12" customHeight="1">
      <c r="A127" s="13" t="s">
        <v>129</v>
      </c>
      <c r="B127" s="383" t="s">
        <v>275</v>
      </c>
      <c r="C127" s="167"/>
      <c r="D127" s="167"/>
      <c r="E127" s="103"/>
    </row>
    <row r="128" spans="1:5" s="390" customFormat="1" ht="12" customHeight="1">
      <c r="A128" s="13" t="s">
        <v>268</v>
      </c>
      <c r="B128" s="383" t="s">
        <v>263</v>
      </c>
      <c r="C128" s="167"/>
      <c r="D128" s="167"/>
      <c r="E128" s="103"/>
    </row>
    <row r="129" spans="1:5" ht="12" customHeight="1">
      <c r="A129" s="13" t="s">
        <v>269</v>
      </c>
      <c r="B129" s="383" t="s">
        <v>274</v>
      </c>
      <c r="C129" s="167"/>
      <c r="D129" s="167"/>
      <c r="E129" s="103"/>
    </row>
    <row r="130" spans="1:5" ht="12" customHeight="1" thickBot="1">
      <c r="A130" s="11" t="s">
        <v>270</v>
      </c>
      <c r="B130" s="383" t="s">
        <v>273</v>
      </c>
      <c r="C130" s="169"/>
      <c r="D130" s="169"/>
      <c r="E130" s="105"/>
    </row>
    <row r="131" spans="1:5" ht="12" customHeight="1" thickBot="1">
      <c r="A131" s="18" t="s">
        <v>8</v>
      </c>
      <c r="B131" s="391" t="s">
        <v>350</v>
      </c>
      <c r="C131" s="166">
        <f>+C96+C117</f>
        <v>640459635</v>
      </c>
      <c r="D131" s="166">
        <f>+D96+D117</f>
        <v>645675152</v>
      </c>
      <c r="E131" s="102">
        <f>+E96+E117</f>
        <v>465521952</v>
      </c>
    </row>
    <row r="132" spans="1:5" ht="12" customHeight="1" thickBot="1">
      <c r="A132" s="18" t="s">
        <v>9</v>
      </c>
      <c r="B132" s="391" t="s">
        <v>351</v>
      </c>
      <c r="C132" s="166">
        <f>+C133+C134+C135</f>
        <v>0</v>
      </c>
      <c r="D132" s="166">
        <f>+D133+D134+D135</f>
        <v>0</v>
      </c>
      <c r="E132" s="102">
        <f>+E133+E134+E135</f>
        <v>0</v>
      </c>
    </row>
    <row r="133" spans="1:5" ht="12" customHeight="1">
      <c r="A133" s="13" t="s">
        <v>177</v>
      </c>
      <c r="B133" s="389" t="s">
        <v>405</v>
      </c>
      <c r="C133" s="167"/>
      <c r="D133" s="167"/>
      <c r="E133" s="103"/>
    </row>
    <row r="134" spans="1:5" ht="12" customHeight="1">
      <c r="A134" s="13" t="s">
        <v>178</v>
      </c>
      <c r="B134" s="389" t="s">
        <v>359</v>
      </c>
      <c r="C134" s="167"/>
      <c r="D134" s="167"/>
      <c r="E134" s="103"/>
    </row>
    <row r="135" spans="1:5" ht="12" customHeight="1" thickBot="1">
      <c r="A135" s="11" t="s">
        <v>179</v>
      </c>
      <c r="B135" s="392" t="s">
        <v>404</v>
      </c>
      <c r="C135" s="167"/>
      <c r="D135" s="167"/>
      <c r="E135" s="103"/>
    </row>
    <row r="136" spans="1:5" ht="12" customHeight="1" thickBot="1">
      <c r="A136" s="18" t="s">
        <v>10</v>
      </c>
      <c r="B136" s="391" t="s">
        <v>867</v>
      </c>
      <c r="C136" s="166">
        <f>+C137+C138+C139+C140</f>
        <v>0</v>
      </c>
      <c r="D136" s="166">
        <f>+D137+D138+D139+D140</f>
        <v>0</v>
      </c>
      <c r="E136" s="102">
        <f>+E137+E138+E139+E140</f>
        <v>0</v>
      </c>
    </row>
    <row r="137" spans="1:5" ht="12" customHeight="1">
      <c r="A137" s="13" t="s">
        <v>56</v>
      </c>
      <c r="B137" s="389" t="s">
        <v>361</v>
      </c>
      <c r="C137" s="167"/>
      <c r="D137" s="167"/>
      <c r="E137" s="103"/>
    </row>
    <row r="138" spans="1:5" ht="12" customHeight="1">
      <c r="A138" s="13" t="s">
        <v>57</v>
      </c>
      <c r="B138" s="389" t="s">
        <v>529</v>
      </c>
      <c r="C138" s="167"/>
      <c r="D138" s="167"/>
      <c r="E138" s="103"/>
    </row>
    <row r="139" spans="1:5" ht="12" customHeight="1">
      <c r="A139" s="13" t="s">
        <v>58</v>
      </c>
      <c r="B139" s="389" t="s">
        <v>353</v>
      </c>
      <c r="C139" s="167"/>
      <c r="D139" s="167"/>
      <c r="E139" s="103"/>
    </row>
    <row r="140" spans="1:5" ht="12" customHeight="1" thickBot="1">
      <c r="A140" s="11" t="s">
        <v>114</v>
      </c>
      <c r="B140" s="392" t="s">
        <v>530</v>
      </c>
      <c r="C140" s="167"/>
      <c r="D140" s="167"/>
      <c r="E140" s="103"/>
    </row>
    <row r="141" spans="1:5" ht="12" customHeight="1" thickBot="1">
      <c r="A141" s="18" t="s">
        <v>11</v>
      </c>
      <c r="B141" s="391" t="s">
        <v>365</v>
      </c>
      <c r="C141" s="172">
        <f>+C142+C143+C144+C145</f>
        <v>0</v>
      </c>
      <c r="D141" s="172">
        <f>+D142+D143+D144+D145</f>
        <v>7715657</v>
      </c>
      <c r="E141" s="208">
        <f>+E142+E143+E144+E145</f>
        <v>7715657</v>
      </c>
    </row>
    <row r="142" spans="1:5" ht="12" customHeight="1">
      <c r="A142" s="13" t="s">
        <v>59</v>
      </c>
      <c r="B142" s="389" t="s">
        <v>278</v>
      </c>
      <c r="C142" s="167"/>
      <c r="D142" s="167"/>
      <c r="E142" s="103"/>
    </row>
    <row r="143" spans="1:5" ht="12" customHeight="1">
      <c r="A143" s="13" t="s">
        <v>60</v>
      </c>
      <c r="B143" s="389" t="s">
        <v>279</v>
      </c>
      <c r="C143" s="167"/>
      <c r="D143" s="167">
        <v>7715657</v>
      </c>
      <c r="E143" s="103">
        <v>7715657</v>
      </c>
    </row>
    <row r="144" spans="1:5" ht="12" customHeight="1">
      <c r="A144" s="13" t="s">
        <v>195</v>
      </c>
      <c r="B144" s="389" t="s">
        <v>531</v>
      </c>
      <c r="C144" s="167"/>
      <c r="D144" s="167"/>
      <c r="E144" s="103"/>
    </row>
    <row r="145" spans="1:5" ht="12" customHeight="1" thickBot="1">
      <c r="A145" s="11" t="s">
        <v>196</v>
      </c>
      <c r="B145" s="392" t="s">
        <v>295</v>
      </c>
      <c r="C145" s="167"/>
      <c r="D145" s="167"/>
      <c r="E145" s="103"/>
    </row>
    <row r="146" spans="1:9" ht="15" customHeight="1" thickBot="1">
      <c r="A146" s="18" t="s">
        <v>12</v>
      </c>
      <c r="B146" s="391" t="s">
        <v>868</v>
      </c>
      <c r="C146" s="243">
        <f>+C147+C148+C149+C150</f>
        <v>0</v>
      </c>
      <c r="D146" s="243">
        <f>+D147+D148+D149+D150</f>
        <v>0</v>
      </c>
      <c r="E146" s="237">
        <f>+E147+E148+E149+E150</f>
        <v>0</v>
      </c>
      <c r="F146" s="189"/>
      <c r="G146" s="190"/>
      <c r="H146" s="190"/>
      <c r="I146" s="190"/>
    </row>
    <row r="147" spans="1:5" s="178" customFormat="1" ht="12.75" customHeight="1">
      <c r="A147" s="13" t="s">
        <v>61</v>
      </c>
      <c r="B147" s="389" t="s">
        <v>532</v>
      </c>
      <c r="C147" s="167"/>
      <c r="D147" s="167"/>
      <c r="E147" s="103"/>
    </row>
    <row r="148" spans="1:5" ht="13.5" customHeight="1">
      <c r="A148" s="13" t="s">
        <v>62</v>
      </c>
      <c r="B148" s="389" t="s">
        <v>533</v>
      </c>
      <c r="C148" s="167"/>
      <c r="D148" s="167"/>
      <c r="E148" s="103"/>
    </row>
    <row r="149" spans="1:5" ht="13.5" customHeight="1">
      <c r="A149" s="13" t="s">
        <v>207</v>
      </c>
      <c r="B149" s="389" t="s">
        <v>534</v>
      </c>
      <c r="C149" s="167"/>
      <c r="D149" s="167"/>
      <c r="E149" s="103"/>
    </row>
    <row r="150" spans="1:5" ht="13.5" customHeight="1">
      <c r="A150" s="13" t="s">
        <v>208</v>
      </c>
      <c r="B150" s="389" t="s">
        <v>370</v>
      </c>
      <c r="C150" s="167"/>
      <c r="D150" s="167"/>
      <c r="E150" s="103"/>
    </row>
    <row r="151" spans="1:5" ht="13.5" customHeight="1" thickBot="1">
      <c r="A151" s="11" t="s">
        <v>869</v>
      </c>
      <c r="B151" s="392" t="s">
        <v>371</v>
      </c>
      <c r="C151" s="752"/>
      <c r="D151" s="752"/>
      <c r="E151" s="753"/>
    </row>
    <row r="152" spans="1:5" ht="13.5" customHeight="1" thickBot="1">
      <c r="A152" s="754" t="s">
        <v>13</v>
      </c>
      <c r="B152" s="755" t="s">
        <v>372</v>
      </c>
      <c r="C152" s="756"/>
      <c r="D152" s="756"/>
      <c r="E152" s="757"/>
    </row>
    <row r="153" spans="1:5" ht="13.5" customHeight="1" thickBot="1">
      <c r="A153" s="754" t="s">
        <v>14</v>
      </c>
      <c r="B153" s="755" t="s">
        <v>373</v>
      </c>
      <c r="C153" s="756"/>
      <c r="D153" s="756"/>
      <c r="E153" s="757"/>
    </row>
    <row r="154" spans="1:5" ht="12.75" customHeight="1" thickBot="1">
      <c r="A154" s="18" t="s">
        <v>15</v>
      </c>
      <c r="B154" s="391" t="s">
        <v>375</v>
      </c>
      <c r="C154" s="245">
        <f>+C132+C136+C141+C146+C152+C153</f>
        <v>0</v>
      </c>
      <c r="D154" s="245">
        <f>+D132+D136+D141+D146+D152+D153</f>
        <v>7715657</v>
      </c>
      <c r="E154" s="239">
        <f>+E132+E136+E141+E146+E152+E153</f>
        <v>7715657</v>
      </c>
    </row>
    <row r="155" spans="1:5" ht="13.5" customHeight="1" thickBot="1">
      <c r="A155" s="112" t="s">
        <v>16</v>
      </c>
      <c r="B155" s="393" t="s">
        <v>374</v>
      </c>
      <c r="C155" s="245">
        <f>+C131+C154</f>
        <v>640459635</v>
      </c>
      <c r="D155" s="245">
        <f>+D131+D154</f>
        <v>653390809</v>
      </c>
      <c r="E155" s="239">
        <f>+E131+E154</f>
        <v>473237609</v>
      </c>
    </row>
    <row r="156" spans="3:4" ht="13.5" customHeight="1">
      <c r="C156" s="655"/>
      <c r="D156" s="655">
        <f>D90-D155</f>
        <v>0</v>
      </c>
    </row>
    <row r="157" ht="13.5" customHeight="1"/>
    <row r="158" ht="7.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 sheet="1"/>
  <mergeCells count="13">
    <mergeCell ref="B6:B7"/>
    <mergeCell ref="C6:C7"/>
    <mergeCell ref="D6:E6"/>
    <mergeCell ref="A91:E91"/>
    <mergeCell ref="A93:A94"/>
    <mergeCell ref="B93:B94"/>
    <mergeCell ref="C93:C94"/>
    <mergeCell ref="D93:E93"/>
    <mergeCell ref="A1:E1"/>
    <mergeCell ref="A2:E2"/>
    <mergeCell ref="A3:E3"/>
    <mergeCell ref="A4:E4"/>
    <mergeCell ref="A6:A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90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zoomScale="120" zoomScaleNormal="120" workbookViewId="0" topLeftCell="A5">
      <selection activeCell="K19" sqref="K19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828" t="s">
        <v>760</v>
      </c>
      <c r="B1" s="913"/>
      <c r="C1" s="913"/>
      <c r="D1" s="913"/>
      <c r="E1" s="913"/>
      <c r="F1" s="913"/>
      <c r="G1" s="913"/>
      <c r="H1" s="913"/>
      <c r="I1" s="913"/>
      <c r="J1" s="913"/>
    </row>
    <row r="2" spans="1:11" ht="14.25" customHeight="1" thickBot="1">
      <c r="A2" s="337"/>
      <c r="B2" s="338"/>
      <c r="C2" s="338"/>
      <c r="D2" s="338"/>
      <c r="E2" s="338"/>
      <c r="F2" s="338"/>
      <c r="G2" s="338"/>
      <c r="H2" s="338"/>
      <c r="I2" s="338"/>
      <c r="J2" s="346">
        <f>'24'!E5</f>
        <v>0</v>
      </c>
      <c r="K2" s="827" t="s">
        <v>977</v>
      </c>
    </row>
    <row r="3" spans="1:11" s="397" customFormat="1" ht="26.25" customHeight="1">
      <c r="A3" s="914" t="s">
        <v>51</v>
      </c>
      <c r="B3" s="916" t="s">
        <v>535</v>
      </c>
      <c r="C3" s="916" t="s">
        <v>536</v>
      </c>
      <c r="D3" s="916" t="s">
        <v>537</v>
      </c>
      <c r="E3" s="916" t="str">
        <f>CONCATENATE(Z_ALAPADATOK!B1,". évi teljesítés")</f>
        <v>2020. évi teljesítés</v>
      </c>
      <c r="F3" s="394" t="s">
        <v>538</v>
      </c>
      <c r="G3" s="395"/>
      <c r="H3" s="395"/>
      <c r="I3" s="396"/>
      <c r="J3" s="919" t="s">
        <v>539</v>
      </c>
      <c r="K3" s="827"/>
    </row>
    <row r="4" spans="1:11" s="401" customFormat="1" ht="32.25" customHeight="1" thickBot="1">
      <c r="A4" s="915"/>
      <c r="B4" s="917"/>
      <c r="C4" s="917"/>
      <c r="D4" s="918"/>
      <c r="E4" s="918"/>
      <c r="F4" s="398" t="str">
        <f>CONCATENATE(Z_ALAPADATOK!B1+1,".")</f>
        <v>2021.</v>
      </c>
      <c r="G4" s="399" t="str">
        <f>CONCATENATE(Z_ALAPADATOK!B1+2,".")</f>
        <v>2022.</v>
      </c>
      <c r="H4" s="399" t="str">
        <f>CONCATENATE(Z_ALAPADATOK!B1+3,".")</f>
        <v>2023.</v>
      </c>
      <c r="I4" s="400" t="str">
        <f>CONCATENATE(Z_ALAPADATOK!B1+3,". után")</f>
        <v>2023. után</v>
      </c>
      <c r="J4" s="920"/>
      <c r="K4" s="827"/>
    </row>
    <row r="5" spans="1:11" s="406" customFormat="1" ht="13.5" customHeight="1" thickBot="1">
      <c r="A5" s="402" t="s">
        <v>386</v>
      </c>
      <c r="B5" s="403" t="s">
        <v>540</v>
      </c>
      <c r="C5" s="404" t="s">
        <v>388</v>
      </c>
      <c r="D5" s="404" t="s">
        <v>390</v>
      </c>
      <c r="E5" s="404" t="s">
        <v>389</v>
      </c>
      <c r="F5" s="404" t="s">
        <v>391</v>
      </c>
      <c r="G5" s="404" t="s">
        <v>392</v>
      </c>
      <c r="H5" s="404" t="s">
        <v>393</v>
      </c>
      <c r="I5" s="404" t="s">
        <v>424</v>
      </c>
      <c r="J5" s="405" t="s">
        <v>541</v>
      </c>
      <c r="K5" s="827"/>
    </row>
    <row r="6" spans="1:11" ht="33.75" customHeight="1" thickBot="1">
      <c r="A6" s="407" t="s">
        <v>6</v>
      </c>
      <c r="B6" s="408" t="s">
        <v>542</v>
      </c>
      <c r="C6" s="409"/>
      <c r="D6" s="410"/>
      <c r="E6" s="410"/>
      <c r="F6" s="410"/>
      <c r="G6" s="410"/>
      <c r="H6" s="410"/>
      <c r="I6" s="411"/>
      <c r="J6" s="412"/>
      <c r="K6" s="827"/>
    </row>
    <row r="7" spans="1:11" ht="33" customHeight="1" thickBot="1">
      <c r="A7" s="407" t="s">
        <v>8</v>
      </c>
      <c r="B7" s="418" t="s">
        <v>544</v>
      </c>
      <c r="C7" s="419"/>
      <c r="D7" s="420"/>
      <c r="E7" s="420"/>
      <c r="F7" s="420"/>
      <c r="G7" s="420"/>
      <c r="H7" s="420"/>
      <c r="I7" s="421"/>
      <c r="J7" s="422"/>
      <c r="K7" s="827"/>
    </row>
    <row r="8" spans="1:11" ht="21" customHeight="1">
      <c r="A8" s="407" t="s">
        <v>10</v>
      </c>
      <c r="B8" s="423" t="s">
        <v>545</v>
      </c>
      <c r="C8" s="419"/>
      <c r="D8" s="420">
        <f>D9+D10+D11</f>
        <v>276415440</v>
      </c>
      <c r="E8" s="420">
        <f aca="true" t="shared" si="0" ref="E8:J8">E9+E10+E11</f>
        <v>11649076</v>
      </c>
      <c r="F8" s="420">
        <f t="shared" si="0"/>
        <v>183293713</v>
      </c>
      <c r="G8" s="420">
        <f t="shared" si="0"/>
        <v>0</v>
      </c>
      <c r="H8" s="420">
        <f t="shared" si="0"/>
        <v>0</v>
      </c>
      <c r="I8" s="420">
        <f t="shared" si="0"/>
        <v>0</v>
      </c>
      <c r="J8" s="420">
        <f t="shared" si="0"/>
        <v>183293713</v>
      </c>
      <c r="K8" s="827"/>
    </row>
    <row r="9" spans="1:11" ht="21" customHeight="1" thickBot="1">
      <c r="A9" s="413" t="s">
        <v>11</v>
      </c>
      <c r="B9" s="423" t="s">
        <v>940</v>
      </c>
      <c r="C9" s="419"/>
      <c r="D9" s="420">
        <v>89545440</v>
      </c>
      <c r="E9" s="420">
        <v>8072789</v>
      </c>
      <c r="F9" s="420"/>
      <c r="G9" s="420"/>
      <c r="H9" s="420"/>
      <c r="I9" s="421"/>
      <c r="J9" s="422">
        <f aca="true" t="shared" si="1" ref="J9:J14">SUM(F9:I9)</f>
        <v>0</v>
      </c>
      <c r="K9" s="827"/>
    </row>
    <row r="10" spans="1:11" ht="21" customHeight="1">
      <c r="A10" s="407" t="s">
        <v>12</v>
      </c>
      <c r="B10" s="414" t="s">
        <v>884</v>
      </c>
      <c r="C10" s="415"/>
      <c r="D10" s="21">
        <v>91000000</v>
      </c>
      <c r="E10" s="21">
        <v>3235800</v>
      </c>
      <c r="F10" s="21">
        <v>87764200</v>
      </c>
      <c r="G10" s="21"/>
      <c r="H10" s="21"/>
      <c r="I10" s="416"/>
      <c r="J10" s="417">
        <f t="shared" si="1"/>
        <v>87764200</v>
      </c>
      <c r="K10" s="827"/>
    </row>
    <row r="11" spans="1:11" ht="21" customHeight="1" thickBot="1">
      <c r="A11" s="413" t="s">
        <v>13</v>
      </c>
      <c r="B11" s="414" t="s">
        <v>941</v>
      </c>
      <c r="C11" s="415"/>
      <c r="D11" s="21">
        <v>95870000</v>
      </c>
      <c r="E11" s="21">
        <v>340487</v>
      </c>
      <c r="F11" s="21">
        <v>95529513</v>
      </c>
      <c r="G11" s="21"/>
      <c r="H11" s="21"/>
      <c r="I11" s="416"/>
      <c r="J11" s="417">
        <f t="shared" si="1"/>
        <v>95529513</v>
      </c>
      <c r="K11" s="827"/>
    </row>
    <row r="12" spans="1:11" ht="21" customHeight="1" thickBot="1">
      <c r="A12" s="407" t="s">
        <v>14</v>
      </c>
      <c r="B12" s="423" t="s">
        <v>546</v>
      </c>
      <c r="C12" s="419"/>
      <c r="D12" s="420"/>
      <c r="E12" s="420"/>
      <c r="F12" s="420"/>
      <c r="G12" s="420"/>
      <c r="H12" s="420"/>
      <c r="I12" s="421"/>
      <c r="J12" s="422"/>
      <c r="K12" s="827"/>
    </row>
    <row r="13" spans="1:11" ht="21" customHeight="1">
      <c r="A13" s="407" t="s">
        <v>16</v>
      </c>
      <c r="B13" s="424" t="s">
        <v>547</v>
      </c>
      <c r="C13" s="425"/>
      <c r="D13" s="426">
        <f>D14+D15+D16+D17</f>
        <v>23795406</v>
      </c>
      <c r="E13" s="426">
        <f aca="true" t="shared" si="2" ref="E13:J13">E14+E15+E16+E17</f>
        <v>579120</v>
      </c>
      <c r="F13" s="426">
        <f t="shared" si="2"/>
        <v>24368471</v>
      </c>
      <c r="G13" s="426">
        <f t="shared" si="2"/>
        <v>562158</v>
      </c>
      <c r="H13" s="426">
        <f t="shared" si="2"/>
        <v>121920</v>
      </c>
      <c r="I13" s="426">
        <f t="shared" si="2"/>
        <v>0</v>
      </c>
      <c r="J13" s="426">
        <f t="shared" si="2"/>
        <v>23789351</v>
      </c>
      <c r="K13" s="827"/>
    </row>
    <row r="14" spans="1:11" ht="21" customHeight="1" thickBot="1">
      <c r="A14" s="413" t="s">
        <v>17</v>
      </c>
      <c r="B14" s="414" t="s">
        <v>881</v>
      </c>
      <c r="C14" s="425"/>
      <c r="D14" s="21">
        <v>23789351</v>
      </c>
      <c r="E14" s="21"/>
      <c r="F14" s="21">
        <v>23789351</v>
      </c>
      <c r="G14" s="21"/>
      <c r="H14" s="21"/>
      <c r="I14" s="416"/>
      <c r="J14" s="417">
        <f t="shared" si="1"/>
        <v>23789351</v>
      </c>
      <c r="K14" s="827"/>
    </row>
    <row r="15" spans="1:11" ht="21" customHeight="1">
      <c r="A15" s="407" t="s">
        <v>18</v>
      </c>
      <c r="B15" s="414" t="s">
        <v>942</v>
      </c>
      <c r="C15" s="425"/>
      <c r="D15" s="427">
        <v>2018</v>
      </c>
      <c r="E15" s="427">
        <v>243840</v>
      </c>
      <c r="F15" s="427">
        <v>243840</v>
      </c>
      <c r="G15" s="427">
        <v>226878</v>
      </c>
      <c r="H15" s="427"/>
      <c r="I15" s="428"/>
      <c r="J15" s="417"/>
      <c r="K15" s="827"/>
    </row>
    <row r="16" spans="1:11" ht="21" customHeight="1" thickBot="1">
      <c r="A16" s="413" t="s">
        <v>19</v>
      </c>
      <c r="B16" s="414" t="s">
        <v>943</v>
      </c>
      <c r="C16" s="425"/>
      <c r="D16" s="427">
        <v>2018</v>
      </c>
      <c r="E16" s="427">
        <v>213360</v>
      </c>
      <c r="F16" s="427">
        <v>213360</v>
      </c>
      <c r="G16" s="427">
        <v>213360</v>
      </c>
      <c r="H16" s="427"/>
      <c r="I16" s="428"/>
      <c r="J16" s="417"/>
      <c r="K16" s="827"/>
    </row>
    <row r="17" spans="1:11" ht="21" customHeight="1" thickBot="1">
      <c r="A17" s="407" t="s">
        <v>20</v>
      </c>
      <c r="B17" s="414" t="s">
        <v>944</v>
      </c>
      <c r="C17" s="425"/>
      <c r="D17" s="427">
        <v>2019</v>
      </c>
      <c r="E17" s="427">
        <v>121920</v>
      </c>
      <c r="F17" s="427">
        <v>121920</v>
      </c>
      <c r="G17" s="427">
        <v>121920</v>
      </c>
      <c r="H17" s="427">
        <v>121920</v>
      </c>
      <c r="I17" s="428"/>
      <c r="J17" s="417"/>
      <c r="K17" s="827"/>
    </row>
    <row r="18" spans="1:11" ht="21" customHeight="1" thickBot="1">
      <c r="A18" s="413" t="s">
        <v>21</v>
      </c>
      <c r="B18" s="429" t="s">
        <v>548</v>
      </c>
      <c r="C18" s="430"/>
      <c r="D18" s="431">
        <f aca="true" t="shared" si="3" ref="D18:J18">D6+D7+D8+D12+D13</f>
        <v>300210846</v>
      </c>
      <c r="E18" s="431">
        <f t="shared" si="3"/>
        <v>12228196</v>
      </c>
      <c r="F18" s="431">
        <f t="shared" si="3"/>
        <v>207662184</v>
      </c>
      <c r="G18" s="431">
        <f t="shared" si="3"/>
        <v>562158</v>
      </c>
      <c r="H18" s="431">
        <f t="shared" si="3"/>
        <v>121920</v>
      </c>
      <c r="I18" s="432">
        <f t="shared" si="3"/>
        <v>0</v>
      </c>
      <c r="J18" s="433">
        <f t="shared" si="3"/>
        <v>207083064</v>
      </c>
      <c r="K18" s="827"/>
    </row>
  </sheetData>
  <sheetProtection/>
  <mergeCells count="8">
    <mergeCell ref="A1:J1"/>
    <mergeCell ref="K2:K18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3" t="s">
        <v>516</v>
      </c>
      <c r="B1" s="79"/>
    </row>
    <row r="2" spans="1:2" ht="12.75">
      <c r="A2" s="79"/>
      <c r="B2" s="79"/>
    </row>
    <row r="3" spans="1:2" ht="12.75">
      <c r="A3" s="275"/>
      <c r="B3" s="275"/>
    </row>
    <row r="4" spans="1:2" ht="15.75">
      <c r="A4" s="81"/>
      <c r="B4" s="279"/>
    </row>
    <row r="5" spans="1:2" ht="15.75">
      <c r="A5" s="81"/>
      <c r="B5" s="279"/>
    </row>
    <row r="6" spans="1:2" s="66" customFormat="1" ht="15.75">
      <c r="A6" s="81" t="str">
        <f>CONCATENATE(Z_ALAPADATOK!B1,". évi eredeti előirányzat BEVÉTELEK")</f>
        <v>2020. évi eredeti előirányzat BEVÉTELEK</v>
      </c>
      <c r="B6" s="275"/>
    </row>
    <row r="7" spans="1:2" s="66" customFormat="1" ht="12.75">
      <c r="A7" s="275"/>
      <c r="B7" s="275"/>
    </row>
    <row r="8" spans="1:2" s="66" customFormat="1" ht="12.75">
      <c r="A8" s="275"/>
      <c r="B8" s="275"/>
    </row>
    <row r="9" spans="1:2" ht="12.75">
      <c r="A9" s="275" t="s">
        <v>457</v>
      </c>
      <c r="B9" s="275" t="s">
        <v>426</v>
      </c>
    </row>
    <row r="10" spans="1:2" ht="12.75">
      <c r="A10" s="275" t="s">
        <v>455</v>
      </c>
      <c r="B10" s="275" t="s">
        <v>432</v>
      </c>
    </row>
    <row r="11" spans="1:2" ht="12.75">
      <c r="A11" s="275" t="s">
        <v>456</v>
      </c>
      <c r="B11" s="275" t="s">
        <v>433</v>
      </c>
    </row>
    <row r="12" spans="1:2" ht="12.75">
      <c r="A12" s="275"/>
      <c r="B12" s="275"/>
    </row>
    <row r="13" spans="1:2" ht="15.75">
      <c r="A13" s="81" t="str">
        <f>+CONCATENATE(LEFT(A6,4),". évi módosított előirányzat BEVÉTELEK")</f>
        <v>2020. évi módosított előirányzat BEVÉTELEK</v>
      </c>
      <c r="B13" s="279"/>
    </row>
    <row r="14" spans="1:2" ht="12.75">
      <c r="A14" s="275"/>
      <c r="B14" s="275"/>
    </row>
    <row r="15" spans="1:2" s="66" customFormat="1" ht="12.75">
      <c r="A15" s="275" t="s">
        <v>458</v>
      </c>
      <c r="B15" s="275" t="s">
        <v>427</v>
      </c>
    </row>
    <row r="16" spans="1:2" ht="12.75">
      <c r="A16" s="275" t="s">
        <v>459</v>
      </c>
      <c r="B16" s="275" t="s">
        <v>434</v>
      </c>
    </row>
    <row r="17" spans="1:2" ht="12.75">
      <c r="A17" s="275" t="s">
        <v>460</v>
      </c>
      <c r="B17" s="275" t="s">
        <v>435</v>
      </c>
    </row>
    <row r="18" spans="1:2" ht="12.75">
      <c r="A18" s="275"/>
      <c r="B18" s="275"/>
    </row>
    <row r="19" spans="1:2" ht="14.25">
      <c r="A19" s="282" t="str">
        <f>+CONCATENATE(LEFT(A6,4),".évi teljesített BEVÉTELEK")</f>
        <v>2020.évi teljesített BEVÉTELEK</v>
      </c>
      <c r="B19" s="279"/>
    </row>
    <row r="20" spans="1:2" ht="12.75">
      <c r="A20" s="275"/>
      <c r="B20" s="275"/>
    </row>
    <row r="21" spans="1:2" ht="12.75">
      <c r="A21" s="275" t="s">
        <v>461</v>
      </c>
      <c r="B21" s="275" t="s">
        <v>428</v>
      </c>
    </row>
    <row r="22" spans="1:2" ht="12.75">
      <c r="A22" s="275" t="s">
        <v>462</v>
      </c>
      <c r="B22" s="275" t="s">
        <v>436</v>
      </c>
    </row>
    <row r="23" spans="1:2" ht="12.75">
      <c r="A23" s="275" t="s">
        <v>463</v>
      </c>
      <c r="B23" s="275" t="s">
        <v>437</v>
      </c>
    </row>
    <row r="24" spans="1:2" ht="12.75">
      <c r="A24" s="275"/>
      <c r="B24" s="275"/>
    </row>
    <row r="25" spans="1:2" ht="15.75">
      <c r="A25" s="81" t="str">
        <f>+CONCATENATE(LEFT(A6,4),". évi eredeti előirányzat KIADÁSOK")</f>
        <v>2020. évi eredeti előirányzat KIADÁSOK</v>
      </c>
      <c r="B25" s="279"/>
    </row>
    <row r="26" spans="1:2" ht="12.75">
      <c r="A26" s="275"/>
      <c r="B26" s="275"/>
    </row>
    <row r="27" spans="1:2" ht="12.75">
      <c r="A27" s="275" t="s">
        <v>464</v>
      </c>
      <c r="B27" s="275" t="s">
        <v>429</v>
      </c>
    </row>
    <row r="28" spans="1:2" ht="12.75">
      <c r="A28" s="275" t="s">
        <v>465</v>
      </c>
      <c r="B28" s="275" t="s">
        <v>438</v>
      </c>
    </row>
    <row r="29" spans="1:2" ht="12.75">
      <c r="A29" s="275" t="s">
        <v>466</v>
      </c>
      <c r="B29" s="275" t="s">
        <v>439</v>
      </c>
    </row>
    <row r="30" spans="1:2" ht="12.75">
      <c r="A30" s="275"/>
      <c r="B30" s="275"/>
    </row>
    <row r="31" spans="1:2" ht="15.75">
      <c r="A31" s="81" t="str">
        <f>+CONCATENATE(LEFT(A6,4),". évi módosított előirányzat KIADÁSOK")</f>
        <v>2020. évi módosított előirányzat KIADÁSOK</v>
      </c>
      <c r="B31" s="279"/>
    </row>
    <row r="32" spans="1:2" ht="12.75">
      <c r="A32" s="275"/>
      <c r="B32" s="275"/>
    </row>
    <row r="33" spans="1:2" ht="12.75">
      <c r="A33" s="275" t="s">
        <v>467</v>
      </c>
      <c r="B33" s="275" t="s">
        <v>430</v>
      </c>
    </row>
    <row r="34" spans="1:2" ht="12.75">
      <c r="A34" s="275" t="s">
        <v>468</v>
      </c>
      <c r="B34" s="275" t="s">
        <v>440</v>
      </c>
    </row>
    <row r="35" spans="1:2" ht="12.75">
      <c r="A35" s="275" t="s">
        <v>469</v>
      </c>
      <c r="B35" s="275" t="s">
        <v>441</v>
      </c>
    </row>
    <row r="36" spans="1:2" ht="12.75">
      <c r="A36" s="275"/>
      <c r="B36" s="275"/>
    </row>
    <row r="37" spans="1:2" ht="15.75">
      <c r="A37" s="281" t="str">
        <f>+CONCATENATE(LEFT(A6,4),".évi teljesített KIADÁSOK")</f>
        <v>2020.évi teljesített KIADÁSOK</v>
      </c>
      <c r="B37" s="279"/>
    </row>
    <row r="38" spans="1:2" ht="12.75">
      <c r="A38" s="275"/>
      <c r="B38" s="275"/>
    </row>
    <row r="39" spans="1:2" ht="12.75">
      <c r="A39" s="275" t="s">
        <v>470</v>
      </c>
      <c r="B39" s="275" t="s">
        <v>431</v>
      </c>
    </row>
    <row r="40" spans="1:2" ht="12.75">
      <c r="A40" s="275" t="s">
        <v>471</v>
      </c>
      <c r="B40" s="275" t="s">
        <v>442</v>
      </c>
    </row>
    <row r="41" spans="1:2" ht="12.75">
      <c r="A41" s="275" t="s">
        <v>472</v>
      </c>
      <c r="B41" s="275" t="s">
        <v>443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20" zoomScaleNormal="120" workbookViewId="0" topLeftCell="A12">
      <selection activeCell="K7" sqref="K7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828" t="s">
        <v>821</v>
      </c>
      <c r="B1" s="913"/>
      <c r="C1" s="913"/>
      <c r="D1" s="913"/>
      <c r="E1" s="913"/>
      <c r="F1" s="913"/>
      <c r="G1" s="913"/>
      <c r="H1" s="913"/>
    </row>
    <row r="2" spans="1:8" ht="12.75">
      <c r="A2" s="337"/>
      <c r="B2" s="338"/>
      <c r="C2" s="338"/>
      <c r="D2" s="338"/>
      <c r="E2" s="338"/>
      <c r="F2" s="338"/>
      <c r="G2" s="338"/>
      <c r="H2" s="338"/>
    </row>
    <row r="3" spans="1:9" s="434" customFormat="1" ht="15.75" thickBot="1">
      <c r="A3" s="605"/>
      <c r="B3" s="336"/>
      <c r="C3" s="336"/>
      <c r="D3" s="336"/>
      <c r="E3" s="336"/>
      <c r="F3" s="336"/>
      <c r="G3" s="336"/>
      <c r="H3" s="346">
        <f>'25'!J2</f>
        <v>0</v>
      </c>
      <c r="I3" s="921" t="s">
        <v>980</v>
      </c>
    </row>
    <row r="4" spans="1:9" s="397" customFormat="1" ht="26.25" customHeight="1">
      <c r="A4" s="922" t="s">
        <v>51</v>
      </c>
      <c r="B4" s="924" t="s">
        <v>549</v>
      </c>
      <c r="C4" s="922" t="s">
        <v>550</v>
      </c>
      <c r="D4" s="922" t="s">
        <v>551</v>
      </c>
      <c r="E4" s="926" t="str">
        <f>CONCATENATE("Hitel, kölcsön állomány ",Z_ALAPADATOK!B1,". dec. 31-én")</f>
        <v>Hitel, kölcsön állomány 2020. dec. 31-én</v>
      </c>
      <c r="F4" s="928" t="s">
        <v>552</v>
      </c>
      <c r="G4" s="929"/>
      <c r="H4" s="930" t="str">
        <f>CONCATENATE(G5," után")</f>
        <v>2022. után</v>
      </c>
      <c r="I4" s="921"/>
    </row>
    <row r="5" spans="1:9" s="401" customFormat="1" ht="40.5" customHeight="1" thickBot="1">
      <c r="A5" s="923"/>
      <c r="B5" s="925"/>
      <c r="C5" s="925"/>
      <c r="D5" s="923"/>
      <c r="E5" s="927"/>
      <c r="F5" s="606" t="str">
        <f>'25'!F4</f>
        <v>2021.</v>
      </c>
      <c r="G5" s="607" t="str">
        <f>'25'!G4</f>
        <v>2022.</v>
      </c>
      <c r="H5" s="931"/>
      <c r="I5" s="921"/>
    </row>
    <row r="6" spans="1:9" s="435" customFormat="1" ht="12.75" customHeight="1" thickBot="1">
      <c r="A6" s="608" t="s">
        <v>386</v>
      </c>
      <c r="B6" s="609" t="s">
        <v>387</v>
      </c>
      <c r="C6" s="609" t="s">
        <v>388</v>
      </c>
      <c r="D6" s="610" t="s">
        <v>390</v>
      </c>
      <c r="E6" s="608" t="s">
        <v>389</v>
      </c>
      <c r="F6" s="610" t="s">
        <v>391</v>
      </c>
      <c r="G6" s="610" t="s">
        <v>392</v>
      </c>
      <c r="H6" s="311" t="s">
        <v>393</v>
      </c>
      <c r="I6" s="921"/>
    </row>
    <row r="7" spans="1:9" ht="22.5" customHeight="1" thickBot="1">
      <c r="A7" s="436" t="s">
        <v>6</v>
      </c>
      <c r="B7" s="437" t="s">
        <v>553</v>
      </c>
      <c r="C7" s="438"/>
      <c r="D7" s="439"/>
      <c r="E7" s="440">
        <f>SUM(E8:E13)</f>
        <v>0</v>
      </c>
      <c r="F7" s="441">
        <f>SUM(F8:F13)</f>
        <v>0</v>
      </c>
      <c r="G7" s="441">
        <f>SUM(G8:G13)</f>
        <v>0</v>
      </c>
      <c r="H7" s="442">
        <f>SUM(H8:H13)</f>
        <v>0</v>
      </c>
      <c r="I7" s="921"/>
    </row>
    <row r="8" spans="1:9" ht="22.5" customHeight="1">
      <c r="A8" s="443" t="s">
        <v>7</v>
      </c>
      <c r="B8" s="444" t="s">
        <v>543</v>
      </c>
      <c r="C8" s="445"/>
      <c r="D8" s="446"/>
      <c r="E8" s="447"/>
      <c r="F8" s="21"/>
      <c r="G8" s="21"/>
      <c r="H8" s="448"/>
      <c r="I8" s="921"/>
    </row>
    <row r="9" spans="1:9" ht="22.5" customHeight="1">
      <c r="A9" s="443" t="s">
        <v>8</v>
      </c>
      <c r="B9" s="444" t="s">
        <v>543</v>
      </c>
      <c r="C9" s="445"/>
      <c r="D9" s="446"/>
      <c r="E9" s="447"/>
      <c r="F9" s="21"/>
      <c r="G9" s="21"/>
      <c r="H9" s="448"/>
      <c r="I9" s="921"/>
    </row>
    <row r="10" spans="1:9" ht="22.5" customHeight="1">
      <c r="A10" s="443" t="s">
        <v>9</v>
      </c>
      <c r="B10" s="444" t="s">
        <v>543</v>
      </c>
      <c r="C10" s="445"/>
      <c r="D10" s="446"/>
      <c r="E10" s="447"/>
      <c r="F10" s="21"/>
      <c r="G10" s="21"/>
      <c r="H10" s="448"/>
      <c r="I10" s="921"/>
    </row>
    <row r="11" spans="1:9" ht="22.5" customHeight="1">
      <c r="A11" s="443" t="s">
        <v>10</v>
      </c>
      <c r="B11" s="444" t="s">
        <v>543</v>
      </c>
      <c r="C11" s="445"/>
      <c r="D11" s="446"/>
      <c r="E11" s="447"/>
      <c r="F11" s="21"/>
      <c r="G11" s="21"/>
      <c r="H11" s="448"/>
      <c r="I11" s="921"/>
    </row>
    <row r="12" spans="1:9" ht="22.5" customHeight="1">
      <c r="A12" s="443" t="s">
        <v>11</v>
      </c>
      <c r="B12" s="444" t="s">
        <v>543</v>
      </c>
      <c r="C12" s="445"/>
      <c r="D12" s="446"/>
      <c r="E12" s="447"/>
      <c r="F12" s="21"/>
      <c r="G12" s="21"/>
      <c r="H12" s="448"/>
      <c r="I12" s="921"/>
    </row>
    <row r="13" spans="1:9" ht="22.5" customHeight="1" thickBot="1">
      <c r="A13" s="443" t="s">
        <v>12</v>
      </c>
      <c r="B13" s="444" t="s">
        <v>543</v>
      </c>
      <c r="C13" s="445"/>
      <c r="D13" s="446"/>
      <c r="E13" s="447"/>
      <c r="F13" s="21"/>
      <c r="G13" s="21"/>
      <c r="H13" s="448"/>
      <c r="I13" s="921"/>
    </row>
    <row r="14" spans="1:9" ht="22.5" customHeight="1" thickBot="1">
      <c r="A14" s="436" t="s">
        <v>13</v>
      </c>
      <c r="B14" s="437" t="s">
        <v>554</v>
      </c>
      <c r="C14" s="449"/>
      <c r="D14" s="450"/>
      <c r="E14" s="440">
        <f>SUM(E15:E20)</f>
        <v>0</v>
      </c>
      <c r="F14" s="441">
        <f>SUM(F15:F20)</f>
        <v>0</v>
      </c>
      <c r="G14" s="441">
        <f>SUM(G15:G20)</f>
        <v>0</v>
      </c>
      <c r="H14" s="442">
        <f>SUM(H15:H20)</f>
        <v>0</v>
      </c>
      <c r="I14" s="921"/>
    </row>
    <row r="15" spans="1:9" ht="22.5" customHeight="1">
      <c r="A15" s="443" t="s">
        <v>14</v>
      </c>
      <c r="B15" s="444" t="s">
        <v>543</v>
      </c>
      <c r="C15" s="445"/>
      <c r="D15" s="446"/>
      <c r="E15" s="447"/>
      <c r="F15" s="21"/>
      <c r="G15" s="21"/>
      <c r="H15" s="448"/>
      <c r="I15" s="921"/>
    </row>
    <row r="16" spans="1:9" ht="22.5" customHeight="1">
      <c r="A16" s="443" t="s">
        <v>15</v>
      </c>
      <c r="B16" s="444" t="s">
        <v>543</v>
      </c>
      <c r="C16" s="445"/>
      <c r="D16" s="446"/>
      <c r="E16" s="447"/>
      <c r="F16" s="21"/>
      <c r="G16" s="21"/>
      <c r="H16" s="448"/>
      <c r="I16" s="921"/>
    </row>
    <row r="17" spans="1:9" ht="22.5" customHeight="1">
      <c r="A17" s="443" t="s">
        <v>16</v>
      </c>
      <c r="B17" s="444" t="s">
        <v>543</v>
      </c>
      <c r="C17" s="445"/>
      <c r="D17" s="446"/>
      <c r="E17" s="447"/>
      <c r="F17" s="21"/>
      <c r="G17" s="21"/>
      <c r="H17" s="448"/>
      <c r="I17" s="921"/>
    </row>
    <row r="18" spans="1:9" ht="22.5" customHeight="1">
      <c r="A18" s="443" t="s">
        <v>17</v>
      </c>
      <c r="B18" s="444" t="s">
        <v>543</v>
      </c>
      <c r="C18" s="445"/>
      <c r="D18" s="446"/>
      <c r="E18" s="447"/>
      <c r="F18" s="21"/>
      <c r="G18" s="21"/>
      <c r="H18" s="448"/>
      <c r="I18" s="921"/>
    </row>
    <row r="19" spans="1:9" ht="22.5" customHeight="1">
      <c r="A19" s="443" t="s">
        <v>18</v>
      </c>
      <c r="B19" s="444" t="s">
        <v>543</v>
      </c>
      <c r="C19" s="445"/>
      <c r="D19" s="446"/>
      <c r="E19" s="447"/>
      <c r="F19" s="21"/>
      <c r="G19" s="21"/>
      <c r="H19" s="448"/>
      <c r="I19" s="921"/>
    </row>
    <row r="20" spans="1:9" ht="22.5" customHeight="1" thickBot="1">
      <c r="A20" s="443" t="s">
        <v>19</v>
      </c>
      <c r="B20" s="444" t="s">
        <v>543</v>
      </c>
      <c r="C20" s="445"/>
      <c r="D20" s="446"/>
      <c r="E20" s="447"/>
      <c r="F20" s="21"/>
      <c r="G20" s="21"/>
      <c r="H20" s="448"/>
      <c r="I20" s="921"/>
    </row>
    <row r="21" spans="1:9" ht="22.5" customHeight="1" thickBot="1">
      <c r="A21" s="436" t="s">
        <v>20</v>
      </c>
      <c r="B21" s="437" t="s">
        <v>555</v>
      </c>
      <c r="C21" s="438"/>
      <c r="D21" s="439"/>
      <c r="E21" s="440">
        <f>E7+E14</f>
        <v>0</v>
      </c>
      <c r="F21" s="441">
        <f>F7+F14</f>
        <v>0</v>
      </c>
      <c r="G21" s="441">
        <f>G7+G14</f>
        <v>0</v>
      </c>
      <c r="H21" s="442">
        <f>H7+H14</f>
        <v>0</v>
      </c>
      <c r="I21" s="921"/>
    </row>
    <row r="22" ht="19.5" customHeight="1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J77"/>
  <sheetViews>
    <sheetView zoomScale="120" zoomScaleNormal="120" workbookViewId="0" topLeftCell="A1">
      <selection activeCell="J1" sqref="J1:J19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953" t="str">
        <f>CONCATENATE("Adósság állomány alakulása lejárat, eszközök, bel- és külföldi hitelezők szerinti bontásban
",Z_ALAPADATOK!B1,". december 31-én")</f>
        <v>Adósság állomány alakulása lejárat, eszközök, bel- és külföldi hitelezők szerinti bontásban
2020. december 31-én</v>
      </c>
      <c r="B1" s="954"/>
      <c r="C1" s="954"/>
      <c r="D1" s="954"/>
      <c r="E1" s="954"/>
      <c r="F1" s="954"/>
      <c r="G1" s="954"/>
      <c r="H1" s="954"/>
      <c r="I1" s="954"/>
      <c r="J1" s="921" t="s">
        <v>981</v>
      </c>
    </row>
    <row r="2" spans="1:10" ht="14.25" thickBot="1">
      <c r="A2" s="67"/>
      <c r="B2" s="67"/>
      <c r="C2" s="67"/>
      <c r="D2" s="67"/>
      <c r="E2" s="67"/>
      <c r="F2" s="67"/>
      <c r="G2" s="67"/>
      <c r="H2" s="942" t="s">
        <v>912</v>
      </c>
      <c r="I2" s="942"/>
      <c r="J2" s="921"/>
    </row>
    <row r="3" spans="1:10" ht="13.5" thickBot="1">
      <c r="A3" s="943" t="s">
        <v>4</v>
      </c>
      <c r="B3" s="945" t="s">
        <v>556</v>
      </c>
      <c r="C3" s="947" t="s">
        <v>557</v>
      </c>
      <c r="D3" s="949" t="s">
        <v>558</v>
      </c>
      <c r="E3" s="950"/>
      <c r="F3" s="950"/>
      <c r="G3" s="950"/>
      <c r="H3" s="950"/>
      <c r="I3" s="951" t="s">
        <v>861</v>
      </c>
      <c r="J3" s="921"/>
    </row>
    <row r="4" spans="1:10" s="47" customFormat="1" ht="42" customHeight="1" thickBot="1">
      <c r="A4" s="944"/>
      <c r="B4" s="946"/>
      <c r="C4" s="948"/>
      <c r="D4" s="329" t="s">
        <v>559</v>
      </c>
      <c r="E4" s="329" t="s">
        <v>560</v>
      </c>
      <c r="F4" s="329" t="s">
        <v>561</v>
      </c>
      <c r="G4" s="611" t="s">
        <v>562</v>
      </c>
      <c r="H4" s="611" t="s">
        <v>563</v>
      </c>
      <c r="I4" s="952"/>
      <c r="J4" s="921"/>
    </row>
    <row r="5" spans="1:10" s="47" customFormat="1" ht="12" customHeight="1" thickBot="1">
      <c r="A5" s="360" t="s">
        <v>386</v>
      </c>
      <c r="B5" s="361" t="s">
        <v>387</v>
      </c>
      <c r="C5" s="361" t="s">
        <v>388</v>
      </c>
      <c r="D5" s="361" t="s">
        <v>390</v>
      </c>
      <c r="E5" s="361" t="s">
        <v>389</v>
      </c>
      <c r="F5" s="361" t="s">
        <v>391</v>
      </c>
      <c r="G5" s="361" t="s">
        <v>392</v>
      </c>
      <c r="H5" s="361" t="s">
        <v>564</v>
      </c>
      <c r="I5" s="363" t="s">
        <v>565</v>
      </c>
      <c r="J5" s="921"/>
    </row>
    <row r="6" spans="1:10" s="47" customFormat="1" ht="18" customHeight="1">
      <c r="A6" s="932" t="s">
        <v>566</v>
      </c>
      <c r="B6" s="933"/>
      <c r="C6" s="933"/>
      <c r="D6" s="933"/>
      <c r="E6" s="933"/>
      <c r="F6" s="933"/>
      <c r="G6" s="933"/>
      <c r="H6" s="933"/>
      <c r="I6" s="934"/>
      <c r="J6" s="921"/>
    </row>
    <row r="7" spans="1:10" ht="15.75" customHeight="1">
      <c r="A7" s="96" t="s">
        <v>6</v>
      </c>
      <c r="B7" s="77" t="s">
        <v>567</v>
      </c>
      <c r="C7" s="68"/>
      <c r="D7" s="68"/>
      <c r="E7" s="68"/>
      <c r="F7" s="68"/>
      <c r="G7" s="451"/>
      <c r="H7" s="452">
        <f aca="true" t="shared" si="0" ref="H7:H13">SUM(D7:G7)</f>
        <v>0</v>
      </c>
      <c r="I7" s="97">
        <f aca="true" t="shared" si="1" ref="I7:I13">C7+H7</f>
        <v>0</v>
      </c>
      <c r="J7" s="921"/>
    </row>
    <row r="8" spans="1:10" ht="22.5">
      <c r="A8" s="96" t="s">
        <v>7</v>
      </c>
      <c r="B8" s="77" t="s">
        <v>137</v>
      </c>
      <c r="C8" s="68"/>
      <c r="D8" s="68"/>
      <c r="E8" s="68"/>
      <c r="F8" s="68"/>
      <c r="G8" s="451"/>
      <c r="H8" s="452">
        <f t="shared" si="0"/>
        <v>0</v>
      </c>
      <c r="I8" s="97">
        <f t="shared" si="1"/>
        <v>0</v>
      </c>
      <c r="J8" s="921"/>
    </row>
    <row r="9" spans="1:10" ht="22.5">
      <c r="A9" s="96" t="s">
        <v>8</v>
      </c>
      <c r="B9" s="77" t="s">
        <v>138</v>
      </c>
      <c r="C9" s="68"/>
      <c r="D9" s="68"/>
      <c r="E9" s="68"/>
      <c r="F9" s="68"/>
      <c r="G9" s="451"/>
      <c r="H9" s="452">
        <f t="shared" si="0"/>
        <v>0</v>
      </c>
      <c r="I9" s="97">
        <f t="shared" si="1"/>
        <v>0</v>
      </c>
      <c r="J9" s="921"/>
    </row>
    <row r="10" spans="1:10" ht="15.75" customHeight="1">
      <c r="A10" s="96" t="s">
        <v>9</v>
      </c>
      <c r="B10" s="77" t="s">
        <v>139</v>
      </c>
      <c r="C10" s="68"/>
      <c r="D10" s="68"/>
      <c r="E10" s="68"/>
      <c r="F10" s="68"/>
      <c r="G10" s="451"/>
      <c r="H10" s="452">
        <f t="shared" si="0"/>
        <v>0</v>
      </c>
      <c r="I10" s="97">
        <f t="shared" si="1"/>
        <v>0</v>
      </c>
      <c r="J10" s="921"/>
    </row>
    <row r="11" spans="1:10" ht="22.5">
      <c r="A11" s="96" t="s">
        <v>10</v>
      </c>
      <c r="B11" s="77" t="s">
        <v>140</v>
      </c>
      <c r="C11" s="68"/>
      <c r="D11" s="68"/>
      <c r="E11" s="68"/>
      <c r="F11" s="68"/>
      <c r="G11" s="451"/>
      <c r="H11" s="452">
        <f t="shared" si="0"/>
        <v>0</v>
      </c>
      <c r="I11" s="97">
        <f t="shared" si="1"/>
        <v>0</v>
      </c>
      <c r="J11" s="921"/>
    </row>
    <row r="12" spans="1:10" ht="15.75" customHeight="1">
      <c r="A12" s="98" t="s">
        <v>11</v>
      </c>
      <c r="B12" s="99" t="s">
        <v>568</v>
      </c>
      <c r="C12" s="69">
        <v>298729</v>
      </c>
      <c r="D12" s="69">
        <v>2632813</v>
      </c>
      <c r="E12" s="69"/>
      <c r="F12" s="69"/>
      <c r="G12" s="453"/>
      <c r="H12" s="452">
        <f t="shared" si="0"/>
        <v>2632813</v>
      </c>
      <c r="I12" s="97">
        <f t="shared" si="1"/>
        <v>2931542</v>
      </c>
      <c r="J12" s="921"/>
    </row>
    <row r="13" spans="1:10" ht="15.75" customHeight="1" thickBot="1">
      <c r="A13" s="454" t="s">
        <v>12</v>
      </c>
      <c r="B13" s="455" t="s">
        <v>569</v>
      </c>
      <c r="C13" s="456"/>
      <c r="D13" s="456"/>
      <c r="E13" s="456"/>
      <c r="F13" s="456"/>
      <c r="G13" s="457"/>
      <c r="H13" s="452">
        <f t="shared" si="0"/>
        <v>0</v>
      </c>
      <c r="I13" s="97">
        <f t="shared" si="1"/>
        <v>0</v>
      </c>
      <c r="J13" s="921"/>
    </row>
    <row r="14" spans="1:10" s="70" customFormat="1" ht="18" customHeight="1" thickBot="1">
      <c r="A14" s="935" t="s">
        <v>570</v>
      </c>
      <c r="B14" s="936"/>
      <c r="C14" s="100">
        <f aca="true" t="shared" si="2" ref="C14:I14">SUM(C7:C13)</f>
        <v>298729</v>
      </c>
      <c r="D14" s="100">
        <f>SUM(D7:D13)</f>
        <v>2632813</v>
      </c>
      <c r="E14" s="100">
        <f t="shared" si="2"/>
        <v>0</v>
      </c>
      <c r="F14" s="100">
        <f t="shared" si="2"/>
        <v>0</v>
      </c>
      <c r="G14" s="458">
        <f t="shared" si="2"/>
        <v>0</v>
      </c>
      <c r="H14" s="458">
        <f t="shared" si="2"/>
        <v>2632813</v>
      </c>
      <c r="I14" s="101">
        <f t="shared" si="2"/>
        <v>2931542</v>
      </c>
      <c r="J14" s="921"/>
    </row>
    <row r="15" spans="1:10" s="67" customFormat="1" ht="18" customHeight="1">
      <c r="A15" s="937" t="s">
        <v>571</v>
      </c>
      <c r="B15" s="938"/>
      <c r="C15" s="938"/>
      <c r="D15" s="938"/>
      <c r="E15" s="938"/>
      <c r="F15" s="938"/>
      <c r="G15" s="938"/>
      <c r="H15" s="938"/>
      <c r="I15" s="939"/>
      <c r="J15" s="921"/>
    </row>
    <row r="16" spans="1:10" s="67" customFormat="1" ht="12.75">
      <c r="A16" s="96" t="s">
        <v>6</v>
      </c>
      <c r="B16" s="77" t="s">
        <v>572</v>
      </c>
      <c r="C16" s="68"/>
      <c r="D16" s="68"/>
      <c r="E16" s="68"/>
      <c r="F16" s="68"/>
      <c r="G16" s="451"/>
      <c r="H16" s="452">
        <f>SUM(D16:G16)</f>
        <v>0</v>
      </c>
      <c r="I16" s="97">
        <f>C16+H16</f>
        <v>0</v>
      </c>
      <c r="J16" s="921"/>
    </row>
    <row r="17" spans="1:10" ht="13.5" thickBot="1">
      <c r="A17" s="454" t="s">
        <v>7</v>
      </c>
      <c r="B17" s="455" t="s">
        <v>569</v>
      </c>
      <c r="C17" s="456"/>
      <c r="D17" s="456"/>
      <c r="E17" s="456"/>
      <c r="F17" s="456"/>
      <c r="G17" s="457"/>
      <c r="H17" s="452">
        <f>SUM(D17:G17)</f>
        <v>0</v>
      </c>
      <c r="I17" s="459">
        <f>C17+H17</f>
        <v>0</v>
      </c>
      <c r="J17" s="921"/>
    </row>
    <row r="18" spans="1:10" ht="15.75" customHeight="1" thickBot="1">
      <c r="A18" s="935" t="s">
        <v>573</v>
      </c>
      <c r="B18" s="936"/>
      <c r="C18" s="100">
        <f aca="true" t="shared" si="3" ref="C18:I18">SUM(C16:C17)</f>
        <v>0</v>
      </c>
      <c r="D18" s="100">
        <f t="shared" si="3"/>
        <v>0</v>
      </c>
      <c r="E18" s="100">
        <f t="shared" si="3"/>
        <v>0</v>
      </c>
      <c r="F18" s="100">
        <f t="shared" si="3"/>
        <v>0</v>
      </c>
      <c r="G18" s="458">
        <f t="shared" si="3"/>
        <v>0</v>
      </c>
      <c r="H18" s="458">
        <f t="shared" si="3"/>
        <v>0</v>
      </c>
      <c r="I18" s="101">
        <f t="shared" si="3"/>
        <v>0</v>
      </c>
      <c r="J18" s="921"/>
    </row>
    <row r="19" spans="1:10" ht="18" customHeight="1" thickBot="1">
      <c r="A19" s="940" t="s">
        <v>574</v>
      </c>
      <c r="B19" s="941"/>
      <c r="C19" s="460">
        <f aca="true" t="shared" si="4" ref="C19:I19">C14+C18</f>
        <v>298729</v>
      </c>
      <c r="D19" s="460">
        <f t="shared" si="4"/>
        <v>2632813</v>
      </c>
      <c r="E19" s="460">
        <f t="shared" si="4"/>
        <v>0</v>
      </c>
      <c r="F19" s="460">
        <f t="shared" si="4"/>
        <v>0</v>
      </c>
      <c r="G19" s="460">
        <f t="shared" si="4"/>
        <v>0</v>
      </c>
      <c r="H19" s="460">
        <f t="shared" si="4"/>
        <v>2632813</v>
      </c>
      <c r="I19" s="101">
        <f t="shared" si="4"/>
        <v>2931542</v>
      </c>
      <c r="J19" s="921"/>
    </row>
    <row r="28" spans="1:9" ht="15.75">
      <c r="A28" s="953" t="str">
        <f>CONCATENATE("Adósság állomány alakulása lejárat, eszközök, bel- és külföldi hitelezők szerinti bontásban
",Z_ALAPADATOK!B28,". december 31-én")</f>
        <v>Adósság állomány alakulása lejárat, eszközök, bel- és külföldi hitelezők szerinti bontásban
. december 31-én</v>
      </c>
      <c r="B28" s="954"/>
      <c r="C28" s="954"/>
      <c r="D28" s="954"/>
      <c r="E28" s="954"/>
      <c r="F28" s="954"/>
      <c r="G28" s="954"/>
      <c r="H28" s="954"/>
      <c r="I28" s="954"/>
    </row>
    <row r="29" spans="1:9" ht="14.25" thickBot="1">
      <c r="A29" s="67"/>
      <c r="B29" s="67"/>
      <c r="C29" s="67"/>
      <c r="D29" s="67"/>
      <c r="E29" s="67"/>
      <c r="F29" s="67"/>
      <c r="G29" s="67"/>
      <c r="H29" s="942" t="s">
        <v>914</v>
      </c>
      <c r="I29" s="942"/>
    </row>
    <row r="30" spans="1:9" ht="13.5" thickBot="1">
      <c r="A30" s="943" t="s">
        <v>4</v>
      </c>
      <c r="B30" s="945" t="s">
        <v>556</v>
      </c>
      <c r="C30" s="947" t="s">
        <v>557</v>
      </c>
      <c r="D30" s="949" t="s">
        <v>558</v>
      </c>
      <c r="E30" s="950"/>
      <c r="F30" s="950"/>
      <c r="G30" s="950"/>
      <c r="H30" s="950"/>
      <c r="I30" s="951" t="s">
        <v>861</v>
      </c>
    </row>
    <row r="31" spans="1:9" ht="24.75" thickBot="1">
      <c r="A31" s="944"/>
      <c r="B31" s="946"/>
      <c r="C31" s="948"/>
      <c r="D31" s="329" t="s">
        <v>559</v>
      </c>
      <c r="E31" s="329" t="s">
        <v>560</v>
      </c>
      <c r="F31" s="329" t="s">
        <v>561</v>
      </c>
      <c r="G31" s="611" t="s">
        <v>562</v>
      </c>
      <c r="H31" s="611" t="s">
        <v>563</v>
      </c>
      <c r="I31" s="952"/>
    </row>
    <row r="32" spans="1:9" ht="13.5" thickBot="1">
      <c r="A32" s="360" t="s">
        <v>386</v>
      </c>
      <c r="B32" s="361" t="s">
        <v>387</v>
      </c>
      <c r="C32" s="361" t="s">
        <v>388</v>
      </c>
      <c r="D32" s="361" t="s">
        <v>390</v>
      </c>
      <c r="E32" s="361" t="s">
        <v>389</v>
      </c>
      <c r="F32" s="361" t="s">
        <v>391</v>
      </c>
      <c r="G32" s="361" t="s">
        <v>392</v>
      </c>
      <c r="H32" s="361" t="s">
        <v>564</v>
      </c>
      <c r="I32" s="363" t="s">
        <v>565</v>
      </c>
    </row>
    <row r="33" spans="1:9" ht="12.75">
      <c r="A33" s="932" t="s">
        <v>566</v>
      </c>
      <c r="B33" s="933"/>
      <c r="C33" s="933"/>
      <c r="D33" s="933"/>
      <c r="E33" s="933"/>
      <c r="F33" s="933"/>
      <c r="G33" s="933"/>
      <c r="H33" s="933"/>
      <c r="I33" s="934"/>
    </row>
    <row r="34" spans="1:9" ht="12.75">
      <c r="A34" s="96" t="s">
        <v>6</v>
      </c>
      <c r="B34" s="77" t="s">
        <v>567</v>
      </c>
      <c r="C34" s="68"/>
      <c r="D34" s="68"/>
      <c r="E34" s="68"/>
      <c r="F34" s="68"/>
      <c r="G34" s="451"/>
      <c r="H34" s="452">
        <f aca="true" t="shared" si="5" ref="H34:H40">SUM(D34:G34)</f>
        <v>0</v>
      </c>
      <c r="I34" s="97">
        <f aca="true" t="shared" si="6" ref="I34:I40">C34+H34</f>
        <v>0</v>
      </c>
    </row>
    <row r="35" spans="1:9" ht="22.5">
      <c r="A35" s="96" t="s">
        <v>7</v>
      </c>
      <c r="B35" s="77" t="s">
        <v>137</v>
      </c>
      <c r="C35" s="68"/>
      <c r="D35" s="68"/>
      <c r="E35" s="68"/>
      <c r="F35" s="68"/>
      <c r="G35" s="451"/>
      <c r="H35" s="452">
        <f t="shared" si="5"/>
        <v>0</v>
      </c>
      <c r="I35" s="97">
        <f t="shared" si="6"/>
        <v>0</v>
      </c>
    </row>
    <row r="36" spans="1:9" ht="22.5">
      <c r="A36" s="96" t="s">
        <v>8</v>
      </c>
      <c r="B36" s="77" t="s">
        <v>138</v>
      </c>
      <c r="C36" s="68"/>
      <c r="D36" s="68"/>
      <c r="E36" s="68"/>
      <c r="F36" s="68"/>
      <c r="G36" s="451"/>
      <c r="H36" s="452">
        <f t="shared" si="5"/>
        <v>0</v>
      </c>
      <c r="I36" s="97">
        <f t="shared" si="6"/>
        <v>0</v>
      </c>
    </row>
    <row r="37" spans="1:9" ht="12.75">
      <c r="A37" s="96" t="s">
        <v>9</v>
      </c>
      <c r="B37" s="77" t="s">
        <v>139</v>
      </c>
      <c r="C37" s="68"/>
      <c r="D37" s="68"/>
      <c r="E37" s="68"/>
      <c r="F37" s="68"/>
      <c r="G37" s="451"/>
      <c r="H37" s="452">
        <f t="shared" si="5"/>
        <v>0</v>
      </c>
      <c r="I37" s="97">
        <f t="shared" si="6"/>
        <v>0</v>
      </c>
    </row>
    <row r="38" spans="1:9" ht="22.5">
      <c r="A38" s="96" t="s">
        <v>10</v>
      </c>
      <c r="B38" s="77" t="s">
        <v>140</v>
      </c>
      <c r="C38" s="68"/>
      <c r="D38" s="68"/>
      <c r="E38" s="68"/>
      <c r="F38" s="68"/>
      <c r="G38" s="451"/>
      <c r="H38" s="452">
        <f t="shared" si="5"/>
        <v>0</v>
      </c>
      <c r="I38" s="97">
        <f t="shared" si="6"/>
        <v>0</v>
      </c>
    </row>
    <row r="39" spans="1:9" ht="12.75">
      <c r="A39" s="98" t="s">
        <v>11</v>
      </c>
      <c r="B39" s="99" t="s">
        <v>568</v>
      </c>
      <c r="C39" s="69">
        <v>1681306</v>
      </c>
      <c r="D39" s="69"/>
      <c r="E39" s="69"/>
      <c r="F39" s="69"/>
      <c r="G39" s="453"/>
      <c r="H39" s="452">
        <f t="shared" si="5"/>
        <v>0</v>
      </c>
      <c r="I39" s="97">
        <f t="shared" si="6"/>
        <v>1681306</v>
      </c>
    </row>
    <row r="40" spans="1:9" ht="13.5" thickBot="1">
      <c r="A40" s="454" t="s">
        <v>12</v>
      </c>
      <c r="B40" s="455" t="s">
        <v>569</v>
      </c>
      <c r="C40" s="456"/>
      <c r="D40" s="456"/>
      <c r="E40" s="456"/>
      <c r="F40" s="456"/>
      <c r="G40" s="457"/>
      <c r="H40" s="452">
        <f t="shared" si="5"/>
        <v>0</v>
      </c>
      <c r="I40" s="97">
        <f t="shared" si="6"/>
        <v>0</v>
      </c>
    </row>
    <row r="41" spans="1:9" ht="13.5" thickBot="1">
      <c r="A41" s="935" t="s">
        <v>570</v>
      </c>
      <c r="B41" s="936"/>
      <c r="C41" s="100">
        <f aca="true" t="shared" si="7" ref="C41:I41">SUM(C34:C40)</f>
        <v>1681306</v>
      </c>
      <c r="D41" s="100">
        <f t="shared" si="7"/>
        <v>0</v>
      </c>
      <c r="E41" s="100">
        <f t="shared" si="7"/>
        <v>0</v>
      </c>
      <c r="F41" s="100">
        <f t="shared" si="7"/>
        <v>0</v>
      </c>
      <c r="G41" s="458">
        <f t="shared" si="7"/>
        <v>0</v>
      </c>
      <c r="H41" s="458">
        <f t="shared" si="7"/>
        <v>0</v>
      </c>
      <c r="I41" s="101">
        <f t="shared" si="7"/>
        <v>1681306</v>
      </c>
    </row>
    <row r="42" spans="1:9" ht="12.75">
      <c r="A42" s="937" t="s">
        <v>571</v>
      </c>
      <c r="B42" s="938"/>
      <c r="C42" s="938"/>
      <c r="D42" s="938"/>
      <c r="E42" s="938"/>
      <c r="F42" s="938"/>
      <c r="G42" s="938"/>
      <c r="H42" s="938"/>
      <c r="I42" s="939"/>
    </row>
    <row r="43" spans="1:9" ht="12.75">
      <c r="A43" s="96" t="s">
        <v>6</v>
      </c>
      <c r="B43" s="77" t="s">
        <v>572</v>
      </c>
      <c r="C43" s="68"/>
      <c r="D43" s="68"/>
      <c r="E43" s="68"/>
      <c r="F43" s="68"/>
      <c r="G43" s="451"/>
      <c r="H43" s="452">
        <f>SUM(D43:G43)</f>
        <v>0</v>
      </c>
      <c r="I43" s="97">
        <f>C43+H43</f>
        <v>0</v>
      </c>
    </row>
    <row r="44" spans="1:9" ht="13.5" thickBot="1">
      <c r="A44" s="454" t="s">
        <v>7</v>
      </c>
      <c r="B44" s="455" t="s">
        <v>569</v>
      </c>
      <c r="C44" s="456"/>
      <c r="D44" s="456"/>
      <c r="E44" s="456"/>
      <c r="F44" s="456"/>
      <c r="G44" s="457"/>
      <c r="H44" s="452">
        <f>SUM(D44:G44)</f>
        <v>0</v>
      </c>
      <c r="I44" s="459">
        <f>C44+H44</f>
        <v>0</v>
      </c>
    </row>
    <row r="45" spans="1:9" ht="13.5" thickBot="1">
      <c r="A45" s="935" t="s">
        <v>573</v>
      </c>
      <c r="B45" s="936"/>
      <c r="C45" s="100">
        <f aca="true" t="shared" si="8" ref="C45:I45">SUM(C43:C44)</f>
        <v>0</v>
      </c>
      <c r="D45" s="100">
        <f t="shared" si="8"/>
        <v>0</v>
      </c>
      <c r="E45" s="100">
        <f t="shared" si="8"/>
        <v>0</v>
      </c>
      <c r="F45" s="100">
        <f t="shared" si="8"/>
        <v>0</v>
      </c>
      <c r="G45" s="458">
        <f t="shared" si="8"/>
        <v>0</v>
      </c>
      <c r="H45" s="458">
        <f t="shared" si="8"/>
        <v>0</v>
      </c>
      <c r="I45" s="101">
        <f t="shared" si="8"/>
        <v>0</v>
      </c>
    </row>
    <row r="46" spans="1:9" ht="13.5" thickBot="1">
      <c r="A46" s="940" t="s">
        <v>574</v>
      </c>
      <c r="B46" s="941"/>
      <c r="C46" s="460">
        <f aca="true" t="shared" si="9" ref="C46:I46">C41+C45</f>
        <v>1681306</v>
      </c>
      <c r="D46" s="460">
        <f t="shared" si="9"/>
        <v>0</v>
      </c>
      <c r="E46" s="460">
        <f t="shared" si="9"/>
        <v>0</v>
      </c>
      <c r="F46" s="460">
        <f t="shared" si="9"/>
        <v>0</v>
      </c>
      <c r="G46" s="460">
        <f t="shared" si="9"/>
        <v>0</v>
      </c>
      <c r="H46" s="460">
        <f t="shared" si="9"/>
        <v>0</v>
      </c>
      <c r="I46" s="101">
        <f t="shared" si="9"/>
        <v>1681306</v>
      </c>
    </row>
    <row r="59" spans="1:9" ht="15.75">
      <c r="A59" s="953" t="str">
        <f>CONCATENATE("Adósság állomány alakulása lejárat, eszközök, bel- és külföldi hitelezők szerinti bontásban
",Z_ALAPADATOK!B59,". december 31-én")</f>
        <v>Adósság állomány alakulása lejárat, eszközök, bel- és külföldi hitelezők szerinti bontásban
. december 31-én</v>
      </c>
      <c r="B59" s="954"/>
      <c r="C59" s="954"/>
      <c r="D59" s="954"/>
      <c r="E59" s="954"/>
      <c r="F59" s="954"/>
      <c r="G59" s="954"/>
      <c r="H59" s="954"/>
      <c r="I59" s="954"/>
    </row>
    <row r="60" spans="1:9" ht="14.25" thickBot="1">
      <c r="A60" s="67"/>
      <c r="B60" s="67"/>
      <c r="C60" s="67"/>
      <c r="D60" s="67"/>
      <c r="E60" s="67"/>
      <c r="F60" s="67"/>
      <c r="G60" s="67"/>
      <c r="H60" s="942" t="s">
        <v>959</v>
      </c>
      <c r="I60" s="942"/>
    </row>
    <row r="61" spans="1:9" ht="13.5" thickBot="1">
      <c r="A61" s="943" t="s">
        <v>4</v>
      </c>
      <c r="B61" s="945" t="s">
        <v>556</v>
      </c>
      <c r="C61" s="947" t="s">
        <v>557</v>
      </c>
      <c r="D61" s="949" t="s">
        <v>558</v>
      </c>
      <c r="E61" s="950"/>
      <c r="F61" s="950"/>
      <c r="G61" s="950"/>
      <c r="H61" s="950"/>
      <c r="I61" s="951" t="s">
        <v>861</v>
      </c>
    </row>
    <row r="62" spans="1:9" ht="24.75" thickBot="1">
      <c r="A62" s="944"/>
      <c r="B62" s="946"/>
      <c r="C62" s="948"/>
      <c r="D62" s="329" t="s">
        <v>559</v>
      </c>
      <c r="E62" s="329" t="s">
        <v>560</v>
      </c>
      <c r="F62" s="329" t="s">
        <v>561</v>
      </c>
      <c r="G62" s="611" t="s">
        <v>562</v>
      </c>
      <c r="H62" s="611" t="s">
        <v>563</v>
      </c>
      <c r="I62" s="952"/>
    </row>
    <row r="63" spans="1:9" ht="13.5" thickBot="1">
      <c r="A63" s="360" t="s">
        <v>386</v>
      </c>
      <c r="B63" s="361" t="s">
        <v>387</v>
      </c>
      <c r="C63" s="361" t="s">
        <v>388</v>
      </c>
      <c r="D63" s="361" t="s">
        <v>390</v>
      </c>
      <c r="E63" s="361" t="s">
        <v>389</v>
      </c>
      <c r="F63" s="361" t="s">
        <v>391</v>
      </c>
      <c r="G63" s="361" t="s">
        <v>392</v>
      </c>
      <c r="H63" s="361" t="s">
        <v>564</v>
      </c>
      <c r="I63" s="363" t="s">
        <v>565</v>
      </c>
    </row>
    <row r="64" spans="1:9" ht="12.75">
      <c r="A64" s="932" t="s">
        <v>566</v>
      </c>
      <c r="B64" s="933"/>
      <c r="C64" s="933"/>
      <c r="D64" s="933"/>
      <c r="E64" s="933"/>
      <c r="F64" s="933"/>
      <c r="G64" s="933"/>
      <c r="H64" s="933"/>
      <c r="I64" s="934"/>
    </row>
    <row r="65" spans="1:9" ht="12.75">
      <c r="A65" s="96" t="s">
        <v>6</v>
      </c>
      <c r="B65" s="77" t="s">
        <v>567</v>
      </c>
      <c r="C65" s="68"/>
      <c r="D65" s="68"/>
      <c r="E65" s="68"/>
      <c r="F65" s="68"/>
      <c r="G65" s="451"/>
      <c r="H65" s="452">
        <f aca="true" t="shared" si="10" ref="H65:H71">SUM(D65:G65)</f>
        <v>0</v>
      </c>
      <c r="I65" s="97">
        <f aca="true" t="shared" si="11" ref="I65:I71">C65+H65</f>
        <v>0</v>
      </c>
    </row>
    <row r="66" spans="1:9" ht="22.5">
      <c r="A66" s="96" t="s">
        <v>7</v>
      </c>
      <c r="B66" s="77" t="s">
        <v>137</v>
      </c>
      <c r="C66" s="68"/>
      <c r="D66" s="68"/>
      <c r="E66" s="68"/>
      <c r="F66" s="68"/>
      <c r="G66" s="451"/>
      <c r="H66" s="452">
        <f t="shared" si="10"/>
        <v>0</v>
      </c>
      <c r="I66" s="97">
        <f t="shared" si="11"/>
        <v>0</v>
      </c>
    </row>
    <row r="67" spans="1:9" ht="22.5">
      <c r="A67" s="96" t="s">
        <v>8</v>
      </c>
      <c r="B67" s="77" t="s">
        <v>138</v>
      </c>
      <c r="C67" s="68"/>
      <c r="D67" s="68"/>
      <c r="E67" s="68"/>
      <c r="F67" s="68"/>
      <c r="G67" s="451"/>
      <c r="H67" s="452">
        <f t="shared" si="10"/>
        <v>0</v>
      </c>
      <c r="I67" s="97">
        <f t="shared" si="11"/>
        <v>0</v>
      </c>
    </row>
    <row r="68" spans="1:9" ht="12.75">
      <c r="A68" s="96" t="s">
        <v>9</v>
      </c>
      <c r="B68" s="77" t="s">
        <v>139</v>
      </c>
      <c r="C68" s="68"/>
      <c r="D68" s="68"/>
      <c r="E68" s="68"/>
      <c r="F68" s="68"/>
      <c r="G68" s="451"/>
      <c r="H68" s="452">
        <f t="shared" si="10"/>
        <v>0</v>
      </c>
      <c r="I68" s="97">
        <f t="shared" si="11"/>
        <v>0</v>
      </c>
    </row>
    <row r="69" spans="1:9" ht="22.5">
      <c r="A69" s="96" t="s">
        <v>10</v>
      </c>
      <c r="B69" s="77" t="s">
        <v>140</v>
      </c>
      <c r="C69" s="68"/>
      <c r="D69" s="68"/>
      <c r="E69" s="68"/>
      <c r="F69" s="68"/>
      <c r="G69" s="451"/>
      <c r="H69" s="452">
        <f t="shared" si="10"/>
        <v>0</v>
      </c>
      <c r="I69" s="97">
        <f t="shared" si="11"/>
        <v>0</v>
      </c>
    </row>
    <row r="70" spans="1:9" ht="12.75">
      <c r="A70" s="98" t="s">
        <v>11</v>
      </c>
      <c r="B70" s="99" t="s">
        <v>568</v>
      </c>
      <c r="C70" s="69">
        <v>119375</v>
      </c>
      <c r="D70" s="69">
        <v>289147</v>
      </c>
      <c r="E70" s="69"/>
      <c r="F70" s="69"/>
      <c r="G70" s="453"/>
      <c r="H70" s="452">
        <f t="shared" si="10"/>
        <v>289147</v>
      </c>
      <c r="I70" s="97">
        <f t="shared" si="11"/>
        <v>408522</v>
      </c>
    </row>
    <row r="71" spans="1:9" ht="13.5" thickBot="1">
      <c r="A71" s="454" t="s">
        <v>12</v>
      </c>
      <c r="B71" s="455" t="s">
        <v>569</v>
      </c>
      <c r="C71" s="456"/>
      <c r="D71" s="456"/>
      <c r="E71" s="456"/>
      <c r="F71" s="456"/>
      <c r="G71" s="457"/>
      <c r="H71" s="452">
        <f t="shared" si="10"/>
        <v>0</v>
      </c>
      <c r="I71" s="97">
        <f t="shared" si="11"/>
        <v>0</v>
      </c>
    </row>
    <row r="72" spans="1:9" ht="13.5" thickBot="1">
      <c r="A72" s="935" t="s">
        <v>570</v>
      </c>
      <c r="B72" s="936"/>
      <c r="C72" s="100">
        <f aca="true" t="shared" si="12" ref="C72:I72">SUM(C65:C71)</f>
        <v>119375</v>
      </c>
      <c r="D72" s="100">
        <f t="shared" si="12"/>
        <v>289147</v>
      </c>
      <c r="E72" s="100">
        <f t="shared" si="12"/>
        <v>0</v>
      </c>
      <c r="F72" s="100">
        <f t="shared" si="12"/>
        <v>0</v>
      </c>
      <c r="G72" s="458">
        <f t="shared" si="12"/>
        <v>0</v>
      </c>
      <c r="H72" s="458">
        <f t="shared" si="12"/>
        <v>289147</v>
      </c>
      <c r="I72" s="101">
        <f t="shared" si="12"/>
        <v>408522</v>
      </c>
    </row>
    <row r="73" spans="1:9" ht="12.75">
      <c r="A73" s="937" t="s">
        <v>571</v>
      </c>
      <c r="B73" s="938"/>
      <c r="C73" s="938"/>
      <c r="D73" s="938"/>
      <c r="E73" s="938"/>
      <c r="F73" s="938"/>
      <c r="G73" s="938"/>
      <c r="H73" s="938"/>
      <c r="I73" s="939"/>
    </row>
    <row r="74" spans="1:9" ht="12.75">
      <c r="A74" s="96" t="s">
        <v>6</v>
      </c>
      <c r="B74" s="77" t="s">
        <v>572</v>
      </c>
      <c r="C74" s="68"/>
      <c r="D74" s="68"/>
      <c r="E74" s="68"/>
      <c r="F74" s="68"/>
      <c r="G74" s="451"/>
      <c r="H74" s="452">
        <f>SUM(D74:G74)</f>
        <v>0</v>
      </c>
      <c r="I74" s="97">
        <f>C74+H74</f>
        <v>0</v>
      </c>
    </row>
    <row r="75" spans="1:9" ht="13.5" thickBot="1">
      <c r="A75" s="454" t="s">
        <v>7</v>
      </c>
      <c r="B75" s="455" t="s">
        <v>569</v>
      </c>
      <c r="C75" s="456"/>
      <c r="D75" s="456"/>
      <c r="E75" s="456"/>
      <c r="F75" s="456"/>
      <c r="G75" s="457"/>
      <c r="H75" s="452">
        <f>SUM(D75:G75)</f>
        <v>0</v>
      </c>
      <c r="I75" s="459">
        <f>C75+H75</f>
        <v>0</v>
      </c>
    </row>
    <row r="76" spans="1:9" ht="13.5" thickBot="1">
      <c r="A76" s="935" t="s">
        <v>573</v>
      </c>
      <c r="B76" s="936"/>
      <c r="C76" s="100">
        <f aca="true" t="shared" si="13" ref="C76:I76">SUM(C74:C75)</f>
        <v>0</v>
      </c>
      <c r="D76" s="100">
        <f t="shared" si="13"/>
        <v>0</v>
      </c>
      <c r="E76" s="100">
        <f t="shared" si="13"/>
        <v>0</v>
      </c>
      <c r="F76" s="100">
        <f t="shared" si="13"/>
        <v>0</v>
      </c>
      <c r="G76" s="458">
        <f t="shared" si="13"/>
        <v>0</v>
      </c>
      <c r="H76" s="458">
        <f t="shared" si="13"/>
        <v>0</v>
      </c>
      <c r="I76" s="101">
        <f t="shared" si="13"/>
        <v>0</v>
      </c>
    </row>
    <row r="77" spans="1:9" ht="13.5" thickBot="1">
      <c r="A77" s="940" t="s">
        <v>574</v>
      </c>
      <c r="B77" s="941"/>
      <c r="C77" s="460">
        <f aca="true" t="shared" si="14" ref="C77:I77">C72+C76</f>
        <v>119375</v>
      </c>
      <c r="D77" s="460">
        <f t="shared" si="14"/>
        <v>289147</v>
      </c>
      <c r="E77" s="460">
        <f t="shared" si="14"/>
        <v>0</v>
      </c>
      <c r="F77" s="460">
        <f t="shared" si="14"/>
        <v>0</v>
      </c>
      <c r="G77" s="460">
        <f t="shared" si="14"/>
        <v>0</v>
      </c>
      <c r="H77" s="460">
        <f t="shared" si="14"/>
        <v>289147</v>
      </c>
      <c r="I77" s="101">
        <f t="shared" si="14"/>
        <v>408522</v>
      </c>
    </row>
  </sheetData>
  <sheetProtection sheet="1"/>
  <mergeCells count="37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  <mergeCell ref="A28:I28"/>
    <mergeCell ref="H29:I29"/>
    <mergeCell ref="A30:A31"/>
    <mergeCell ref="B30:B31"/>
    <mergeCell ref="C30:C31"/>
    <mergeCell ref="D30:H30"/>
    <mergeCell ref="I30:I31"/>
    <mergeCell ref="I61:I62"/>
    <mergeCell ref="A33:I33"/>
    <mergeCell ref="A41:B41"/>
    <mergeCell ref="A42:I42"/>
    <mergeCell ref="A45:B45"/>
    <mergeCell ref="A46:B46"/>
    <mergeCell ref="A59:I59"/>
    <mergeCell ref="A64:I64"/>
    <mergeCell ref="A72:B72"/>
    <mergeCell ref="A73:I73"/>
    <mergeCell ref="A76:B76"/>
    <mergeCell ref="A77:B77"/>
    <mergeCell ref="H60:I60"/>
    <mergeCell ref="A61:A62"/>
    <mergeCell ref="B61:B62"/>
    <mergeCell ref="C61:C62"/>
    <mergeCell ref="D61:H61"/>
  </mergeCells>
  <printOptions horizontalCentered="1"/>
  <pageMargins left="0.5905511811023623" right="0.5905511811023623" top="1.1811023622047245" bottom="0.7874015748031497" header="0.5905511811023623" footer="0.5905511811023623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875" style="478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956" t="str">
        <f>CONCATENATE("28.melléklet ",Z_ALAPADATOK!A7," ",Z_ALAPADATOK!B7," ",Z_ALAPADATOK!C7," ",Z_ALAPADATOK!D7," ",Z_ALAPADATOK!E7," ",Z_ALAPADATOK!F7," ",Z_ALAPADATOK!G7," ",Z_ALAPADATOK!H7)</f>
        <v>28.melléklet a 8 / 2021. ( V.25 ) önkormányzati rendelethez</v>
      </c>
      <c r="B1" s="830"/>
      <c r="C1" s="830"/>
      <c r="D1" s="830"/>
    </row>
    <row r="2" spans="1:4" ht="12.75">
      <c r="A2" s="613"/>
      <c r="B2" s="614"/>
      <c r="C2" s="614"/>
      <c r="D2" s="614"/>
    </row>
    <row r="3" spans="1:4" ht="15.75">
      <c r="A3" s="953" t="s">
        <v>765</v>
      </c>
      <c r="B3" s="913"/>
      <c r="C3" s="913"/>
      <c r="D3" s="913"/>
    </row>
    <row r="4" spans="1:4" ht="15.75">
      <c r="A4" s="953" t="s">
        <v>766</v>
      </c>
      <c r="B4" s="913"/>
      <c r="C4" s="913"/>
      <c r="D4" s="913"/>
    </row>
    <row r="5" spans="1:4" s="434" customFormat="1" ht="15.75" thickBot="1">
      <c r="A5" s="605"/>
      <c r="B5" s="336"/>
      <c r="C5" s="336"/>
      <c r="D5" s="346">
        <f>'26'!H3</f>
        <v>0</v>
      </c>
    </row>
    <row r="6" spans="1:4" s="47" customFormat="1" ht="48" customHeight="1" thickBot="1">
      <c r="A6" s="322" t="s">
        <v>4</v>
      </c>
      <c r="B6" s="329" t="s">
        <v>5</v>
      </c>
      <c r="C6" s="329" t="s">
        <v>575</v>
      </c>
      <c r="D6" s="615" t="s">
        <v>576</v>
      </c>
    </row>
    <row r="7" spans="1:4" s="47" customFormat="1" ht="13.5" customHeight="1" thickBot="1">
      <c r="A7" s="616" t="s">
        <v>386</v>
      </c>
      <c r="B7" s="617" t="s">
        <v>387</v>
      </c>
      <c r="C7" s="617" t="s">
        <v>388</v>
      </c>
      <c r="D7" s="618" t="s">
        <v>390</v>
      </c>
    </row>
    <row r="8" spans="1:4" ht="18" customHeight="1">
      <c r="A8" s="461" t="s">
        <v>6</v>
      </c>
      <c r="B8" s="462" t="s">
        <v>577</v>
      </c>
      <c r="C8" s="463"/>
      <c r="D8" s="464"/>
    </row>
    <row r="9" spans="1:4" ht="18" customHeight="1">
      <c r="A9" s="465" t="s">
        <v>7</v>
      </c>
      <c r="B9" s="466" t="s">
        <v>578</v>
      </c>
      <c r="C9" s="467"/>
      <c r="D9" s="468"/>
    </row>
    <row r="10" spans="1:4" ht="18" customHeight="1">
      <c r="A10" s="465" t="s">
        <v>8</v>
      </c>
      <c r="B10" s="466" t="s">
        <v>579</v>
      </c>
      <c r="C10" s="467"/>
      <c r="D10" s="468"/>
    </row>
    <row r="11" spans="1:4" ht="18" customHeight="1">
      <c r="A11" s="465" t="s">
        <v>9</v>
      </c>
      <c r="B11" s="466" t="s">
        <v>580</v>
      </c>
      <c r="C11" s="467"/>
      <c r="D11" s="468"/>
    </row>
    <row r="12" spans="1:4" ht="18" customHeight="1">
      <c r="A12" s="469" t="s">
        <v>10</v>
      </c>
      <c r="B12" s="466" t="s">
        <v>581</v>
      </c>
      <c r="C12" s="467"/>
      <c r="D12" s="468"/>
    </row>
    <row r="13" spans="1:4" ht="18" customHeight="1">
      <c r="A13" s="465" t="s">
        <v>11</v>
      </c>
      <c r="B13" s="466" t="s">
        <v>582</v>
      </c>
      <c r="C13" s="467"/>
      <c r="D13" s="468"/>
    </row>
    <row r="14" spans="1:4" ht="18" customHeight="1">
      <c r="A14" s="469" t="s">
        <v>12</v>
      </c>
      <c r="B14" s="470" t="s">
        <v>583</v>
      </c>
      <c r="C14" s="467"/>
      <c r="D14" s="468"/>
    </row>
    <row r="15" spans="1:4" ht="18" customHeight="1">
      <c r="A15" s="469" t="s">
        <v>13</v>
      </c>
      <c r="B15" s="470" t="s">
        <v>584</v>
      </c>
      <c r="C15" s="467"/>
      <c r="D15" s="468"/>
    </row>
    <row r="16" spans="1:4" ht="18" customHeight="1">
      <c r="A16" s="465" t="s">
        <v>14</v>
      </c>
      <c r="B16" s="470" t="s">
        <v>585</v>
      </c>
      <c r="C16" s="467"/>
      <c r="D16" s="468"/>
    </row>
    <row r="17" spans="1:4" ht="18" customHeight="1">
      <c r="A17" s="469" t="s">
        <v>15</v>
      </c>
      <c r="B17" s="470" t="s">
        <v>586</v>
      </c>
      <c r="C17" s="467"/>
      <c r="D17" s="468"/>
    </row>
    <row r="18" spans="1:4" ht="22.5">
      <c r="A18" s="465" t="s">
        <v>16</v>
      </c>
      <c r="B18" s="470" t="s">
        <v>587</v>
      </c>
      <c r="C18" s="467"/>
      <c r="D18" s="468"/>
    </row>
    <row r="19" spans="1:4" ht="18" customHeight="1">
      <c r="A19" s="469" t="s">
        <v>17</v>
      </c>
      <c r="B19" s="466" t="s">
        <v>588</v>
      </c>
      <c r="C19" s="467"/>
      <c r="D19" s="468"/>
    </row>
    <row r="20" spans="1:4" ht="18" customHeight="1">
      <c r="A20" s="465" t="s">
        <v>18</v>
      </c>
      <c r="B20" s="466" t="s">
        <v>589</v>
      </c>
      <c r="C20" s="467"/>
      <c r="D20" s="468"/>
    </row>
    <row r="21" spans="1:4" ht="18" customHeight="1">
      <c r="A21" s="469" t="s">
        <v>19</v>
      </c>
      <c r="B21" s="466" t="s">
        <v>590</v>
      </c>
      <c r="C21" s="467"/>
      <c r="D21" s="468"/>
    </row>
    <row r="22" spans="1:4" ht="18" customHeight="1">
      <c r="A22" s="465" t="s">
        <v>20</v>
      </c>
      <c r="B22" s="466" t="s">
        <v>591</v>
      </c>
      <c r="C22" s="467"/>
      <c r="D22" s="468"/>
    </row>
    <row r="23" spans="1:4" ht="18" customHeight="1">
      <c r="A23" s="469" t="s">
        <v>21</v>
      </c>
      <c r="B23" s="466" t="s">
        <v>592</v>
      </c>
      <c r="C23" s="467"/>
      <c r="D23" s="468"/>
    </row>
    <row r="24" spans="1:4" ht="18" customHeight="1">
      <c r="A24" s="465" t="s">
        <v>22</v>
      </c>
      <c r="B24" s="471"/>
      <c r="C24" s="467"/>
      <c r="D24" s="468"/>
    </row>
    <row r="25" spans="1:4" ht="18" customHeight="1">
      <c r="A25" s="469" t="s">
        <v>23</v>
      </c>
      <c r="B25" s="471"/>
      <c r="C25" s="467"/>
      <c r="D25" s="468"/>
    </row>
    <row r="26" spans="1:4" ht="18" customHeight="1">
      <c r="A26" s="465" t="s">
        <v>24</v>
      </c>
      <c r="B26" s="471"/>
      <c r="C26" s="467"/>
      <c r="D26" s="468"/>
    </row>
    <row r="27" spans="1:4" ht="18" customHeight="1">
      <c r="A27" s="469" t="s">
        <v>25</v>
      </c>
      <c r="B27" s="471"/>
      <c r="C27" s="467"/>
      <c r="D27" s="468"/>
    </row>
    <row r="28" spans="1:4" ht="18" customHeight="1">
      <c r="A28" s="465" t="s">
        <v>26</v>
      </c>
      <c r="B28" s="471"/>
      <c r="C28" s="467"/>
      <c r="D28" s="468"/>
    </row>
    <row r="29" spans="1:4" ht="18" customHeight="1">
      <c r="A29" s="469" t="s">
        <v>27</v>
      </c>
      <c r="B29" s="471"/>
      <c r="C29" s="467"/>
      <c r="D29" s="468"/>
    </row>
    <row r="30" spans="1:4" ht="18" customHeight="1">
      <c r="A30" s="465" t="s">
        <v>28</v>
      </c>
      <c r="B30" s="471"/>
      <c r="C30" s="467"/>
      <c r="D30" s="468"/>
    </row>
    <row r="31" spans="1:4" ht="18" customHeight="1">
      <c r="A31" s="469" t="s">
        <v>29</v>
      </c>
      <c r="B31" s="471"/>
      <c r="C31" s="467"/>
      <c r="D31" s="468"/>
    </row>
    <row r="32" spans="1:4" ht="18" customHeight="1" thickBot="1">
      <c r="A32" s="472" t="s">
        <v>30</v>
      </c>
      <c r="B32" s="473"/>
      <c r="C32" s="474"/>
      <c r="D32" s="475"/>
    </row>
    <row r="33" spans="1:4" ht="18" customHeight="1" thickBot="1">
      <c r="A33" s="476" t="s">
        <v>31</v>
      </c>
      <c r="B33" s="612" t="s">
        <v>37</v>
      </c>
      <c r="C33" s="441">
        <f>+C8+C9+C10+C11+C12+C19+C20+C21+C22+C23+C24+C25+C26+C27+C28+C29+C30+C31+C32</f>
        <v>0</v>
      </c>
      <c r="D33" s="442">
        <f>+D8+D9+D10+D11+D12+D19+D20+D21+D22+D23+D24+D25+D26+D27+D28+D29+D30+D31+D32</f>
        <v>0</v>
      </c>
    </row>
    <row r="34" spans="1:4" ht="25.5" customHeight="1">
      <c r="A34" s="477"/>
      <c r="B34" s="955" t="s">
        <v>593</v>
      </c>
      <c r="C34" s="955"/>
      <c r="D34" s="955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="112" zoomScaleNormal="112" workbookViewId="0" topLeftCell="A1">
      <selection activeCell="A1" sqref="A1:E1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959" t="s">
        <v>978</v>
      </c>
      <c r="B1" s="959"/>
      <c r="C1" s="959"/>
      <c r="D1" s="959"/>
      <c r="E1" s="959"/>
    </row>
    <row r="2" spans="1:5" ht="12.75">
      <c r="A2" s="67"/>
      <c r="B2" s="67"/>
      <c r="C2" s="67"/>
      <c r="D2" s="67"/>
      <c r="E2" s="67"/>
    </row>
    <row r="3" spans="1:5" ht="15.75">
      <c r="A3" s="960" t="s">
        <v>767</v>
      </c>
      <c r="B3" s="960"/>
      <c r="C3" s="960"/>
      <c r="D3" s="960"/>
      <c r="E3" s="960"/>
    </row>
    <row r="4" spans="1:5" ht="15.75">
      <c r="A4" s="960" t="str">
        <f>CONCATENATE("A ",Z_ALAPADATOK!B1,". évi céljelleggel juttatott támogatások felhasználásáról")</f>
        <v>A 2020. évi céljelleggel juttatott támogatások felhasználásáról</v>
      </c>
      <c r="B4" s="960"/>
      <c r="C4" s="960"/>
      <c r="D4" s="960"/>
      <c r="E4" s="960"/>
    </row>
    <row r="5" spans="1:5" ht="12.75">
      <c r="A5" s="67"/>
      <c r="B5" s="67"/>
      <c r="C5" s="67"/>
      <c r="D5" s="67"/>
      <c r="E5" s="67"/>
    </row>
    <row r="6" spans="1:5" ht="14.25" thickBot="1">
      <c r="A6" s="67"/>
      <c r="B6" s="67"/>
      <c r="C6" s="619"/>
      <c r="D6" s="619"/>
      <c r="E6" s="619">
        <f>'28'!D5</f>
        <v>0</v>
      </c>
    </row>
    <row r="7" spans="1:5" ht="42.75" customHeight="1" thickBot="1">
      <c r="A7" s="620" t="s">
        <v>51</v>
      </c>
      <c r="B7" s="621" t="s">
        <v>594</v>
      </c>
      <c r="C7" s="621" t="s">
        <v>595</v>
      </c>
      <c r="D7" s="622" t="s">
        <v>596</v>
      </c>
      <c r="E7" s="623" t="s">
        <v>597</v>
      </c>
    </row>
    <row r="8" spans="1:5" ht="15.75" customHeight="1">
      <c r="A8" s="479" t="s">
        <v>6</v>
      </c>
      <c r="B8" s="480" t="s">
        <v>945</v>
      </c>
      <c r="C8" s="480" t="s">
        <v>946</v>
      </c>
      <c r="D8" s="481">
        <v>600000</v>
      </c>
      <c r="E8" s="482">
        <v>600000</v>
      </c>
    </row>
    <row r="9" spans="1:5" ht="15.75" customHeight="1">
      <c r="A9" s="483" t="s">
        <v>7</v>
      </c>
      <c r="B9" s="484" t="s">
        <v>947</v>
      </c>
      <c r="C9" s="484" t="s">
        <v>946</v>
      </c>
      <c r="D9" s="485"/>
      <c r="E9" s="486">
        <v>73230</v>
      </c>
    </row>
    <row r="10" spans="1:5" ht="15.75" customHeight="1">
      <c r="A10" s="483" t="s">
        <v>8</v>
      </c>
      <c r="B10" s="484" t="s">
        <v>948</v>
      </c>
      <c r="C10" s="484" t="s">
        <v>949</v>
      </c>
      <c r="D10" s="485">
        <v>3101400</v>
      </c>
      <c r="E10" s="486">
        <v>3101400</v>
      </c>
    </row>
    <row r="11" spans="1:5" ht="15.75" customHeight="1">
      <c r="A11" s="483" t="s">
        <v>9</v>
      </c>
      <c r="B11" s="484" t="s">
        <v>950</v>
      </c>
      <c r="C11" s="484" t="s">
        <v>946</v>
      </c>
      <c r="D11" s="485">
        <v>5000000</v>
      </c>
      <c r="E11" s="486">
        <v>4712483</v>
      </c>
    </row>
    <row r="12" spans="1:5" ht="15.75" customHeight="1">
      <c r="A12" s="483" t="s">
        <v>10</v>
      </c>
      <c r="B12" s="484" t="s">
        <v>951</v>
      </c>
      <c r="C12" s="484" t="s">
        <v>946</v>
      </c>
      <c r="D12" s="485"/>
      <c r="E12" s="486">
        <v>989759</v>
      </c>
    </row>
    <row r="13" spans="1:5" ht="15.75" customHeight="1">
      <c r="A13" s="483" t="s">
        <v>11</v>
      </c>
      <c r="B13" s="484" t="s">
        <v>952</v>
      </c>
      <c r="C13" s="484" t="s">
        <v>946</v>
      </c>
      <c r="D13" s="485">
        <v>15000</v>
      </c>
      <c r="E13" s="486">
        <v>15000</v>
      </c>
    </row>
    <row r="14" spans="1:5" ht="15.75" customHeight="1">
      <c r="A14" s="483" t="s">
        <v>12</v>
      </c>
      <c r="B14" s="484" t="s">
        <v>953</v>
      </c>
      <c r="C14" s="484" t="s">
        <v>946</v>
      </c>
      <c r="D14" s="485">
        <v>300000</v>
      </c>
      <c r="E14" s="486">
        <v>300000</v>
      </c>
    </row>
    <row r="15" spans="1:5" ht="15.75" customHeight="1">
      <c r="A15" s="483" t="s">
        <v>13</v>
      </c>
      <c r="B15" s="484" t="s">
        <v>954</v>
      </c>
      <c r="C15" s="484" t="s">
        <v>946</v>
      </c>
      <c r="D15" s="485">
        <v>50000</v>
      </c>
      <c r="E15" s="486">
        <v>50000</v>
      </c>
    </row>
    <row r="16" spans="1:5" ht="15.75" customHeight="1">
      <c r="A16" s="483" t="s">
        <v>14</v>
      </c>
      <c r="B16" s="484" t="s">
        <v>955</v>
      </c>
      <c r="C16" s="484" t="s">
        <v>946</v>
      </c>
      <c r="D16" s="485">
        <v>300000</v>
      </c>
      <c r="E16" s="486">
        <v>300000</v>
      </c>
    </row>
    <row r="17" spans="1:5" ht="15.75" customHeight="1">
      <c r="A17" s="483" t="s">
        <v>15</v>
      </c>
      <c r="B17" s="484" t="s">
        <v>956</v>
      </c>
      <c r="C17" s="484" t="s">
        <v>946</v>
      </c>
      <c r="D17" s="485">
        <v>500000</v>
      </c>
      <c r="E17" s="486">
        <v>500000</v>
      </c>
    </row>
    <row r="18" spans="1:5" ht="15.75" customHeight="1">
      <c r="A18" s="483" t="s">
        <v>16</v>
      </c>
      <c r="B18" s="484" t="s">
        <v>957</v>
      </c>
      <c r="C18" s="484" t="s">
        <v>946</v>
      </c>
      <c r="D18" s="485">
        <v>15000</v>
      </c>
      <c r="E18" s="486">
        <v>15000</v>
      </c>
    </row>
    <row r="19" spans="1:5" ht="15.75" customHeight="1">
      <c r="A19" s="483" t="s">
        <v>17</v>
      </c>
      <c r="B19" s="484" t="s">
        <v>958</v>
      </c>
      <c r="C19" s="484" t="s">
        <v>946</v>
      </c>
      <c r="D19" s="485">
        <v>755000</v>
      </c>
      <c r="E19" s="486"/>
    </row>
    <row r="20" spans="1:5" ht="15.75" customHeight="1">
      <c r="A20" s="483" t="s">
        <v>18</v>
      </c>
      <c r="B20" s="484"/>
      <c r="C20" s="484"/>
      <c r="D20" s="485"/>
      <c r="E20" s="486"/>
    </row>
    <row r="21" spans="1:5" ht="15.75" customHeight="1">
      <c r="A21" s="483" t="s">
        <v>19</v>
      </c>
      <c r="B21" s="484"/>
      <c r="C21" s="484"/>
      <c r="D21" s="485"/>
      <c r="E21" s="486"/>
    </row>
    <row r="22" spans="1:5" ht="15.75" customHeight="1">
      <c r="A22" s="483" t="s">
        <v>20</v>
      </c>
      <c r="B22" s="484"/>
      <c r="C22" s="484"/>
      <c r="D22" s="485"/>
      <c r="E22" s="486"/>
    </row>
    <row r="23" spans="1:5" ht="15.75" customHeight="1">
      <c r="A23" s="483" t="s">
        <v>21</v>
      </c>
      <c r="B23" s="484"/>
      <c r="C23" s="484"/>
      <c r="D23" s="485"/>
      <c r="E23" s="486"/>
    </row>
    <row r="24" spans="1:5" ht="15.75" customHeight="1">
      <c r="A24" s="483" t="s">
        <v>22</v>
      </c>
      <c r="B24" s="484"/>
      <c r="C24" s="484"/>
      <c r="D24" s="485"/>
      <c r="E24" s="486"/>
    </row>
    <row r="25" spans="1:5" ht="15.75" customHeight="1">
      <c r="A25" s="483" t="s">
        <v>23</v>
      </c>
      <c r="B25" s="484"/>
      <c r="C25" s="484"/>
      <c r="D25" s="485"/>
      <c r="E25" s="486"/>
    </row>
    <row r="26" spans="1:5" ht="15.75" customHeight="1">
      <c r="A26" s="483" t="s">
        <v>24</v>
      </c>
      <c r="B26" s="484"/>
      <c r="C26" s="484"/>
      <c r="D26" s="485"/>
      <c r="E26" s="486"/>
    </row>
    <row r="27" spans="1:5" ht="15.75" customHeight="1">
      <c r="A27" s="483" t="s">
        <v>25</v>
      </c>
      <c r="B27" s="484"/>
      <c r="C27" s="484"/>
      <c r="D27" s="485"/>
      <c r="E27" s="486"/>
    </row>
    <row r="28" spans="1:5" ht="15.75" customHeight="1">
      <c r="A28" s="483" t="s">
        <v>26</v>
      </c>
      <c r="B28" s="484"/>
      <c r="C28" s="484"/>
      <c r="D28" s="485"/>
      <c r="E28" s="486"/>
    </row>
    <row r="29" spans="1:5" ht="15.75" customHeight="1">
      <c r="A29" s="483" t="s">
        <v>27</v>
      </c>
      <c r="B29" s="484"/>
      <c r="C29" s="484"/>
      <c r="D29" s="485"/>
      <c r="E29" s="486"/>
    </row>
    <row r="30" spans="1:5" ht="15.75" customHeight="1">
      <c r="A30" s="483" t="s">
        <v>28</v>
      </c>
      <c r="B30" s="484"/>
      <c r="C30" s="484"/>
      <c r="D30" s="485"/>
      <c r="E30" s="486"/>
    </row>
    <row r="31" spans="1:5" ht="15.75" customHeight="1">
      <c r="A31" s="483" t="s">
        <v>29</v>
      </c>
      <c r="B31" s="484"/>
      <c r="C31" s="484"/>
      <c r="D31" s="485"/>
      <c r="E31" s="486"/>
    </row>
    <row r="32" spans="1:5" ht="15.75" customHeight="1">
      <c r="A32" s="483" t="s">
        <v>30</v>
      </c>
      <c r="B32" s="484"/>
      <c r="C32" s="484"/>
      <c r="D32" s="485"/>
      <c r="E32" s="486"/>
    </row>
    <row r="33" spans="1:5" ht="15.75" customHeight="1">
      <c r="A33" s="483" t="s">
        <v>31</v>
      </c>
      <c r="B33" s="484"/>
      <c r="C33" s="484"/>
      <c r="D33" s="485"/>
      <c r="E33" s="486"/>
    </row>
    <row r="34" spans="1:5" ht="15.75" customHeight="1">
      <c r="A34" s="483" t="s">
        <v>32</v>
      </c>
      <c r="B34" s="484"/>
      <c r="C34" s="484"/>
      <c r="D34" s="485"/>
      <c r="E34" s="486"/>
    </row>
    <row r="35" spans="1:5" ht="15.75" customHeight="1">
      <c r="A35" s="483" t="s">
        <v>33</v>
      </c>
      <c r="B35" s="484"/>
      <c r="C35" s="484"/>
      <c r="D35" s="485"/>
      <c r="E35" s="486"/>
    </row>
    <row r="36" spans="1:5" ht="15.75" customHeight="1">
      <c r="A36" s="483" t="s">
        <v>598</v>
      </c>
      <c r="B36" s="484"/>
      <c r="C36" s="484"/>
      <c r="D36" s="485"/>
      <c r="E36" s="486"/>
    </row>
    <row r="37" spans="1:5" ht="15.75" customHeight="1">
      <c r="A37" s="483" t="s">
        <v>599</v>
      </c>
      <c r="B37" s="484"/>
      <c r="C37" s="484"/>
      <c r="D37" s="485"/>
      <c r="E37" s="486"/>
    </row>
    <row r="38" spans="1:5" ht="15.75" customHeight="1">
      <c r="A38" s="483" t="s">
        <v>600</v>
      </c>
      <c r="B38" s="484"/>
      <c r="C38" s="484"/>
      <c r="D38" s="485"/>
      <c r="E38" s="486"/>
    </row>
    <row r="39" spans="1:5" ht="15.75" customHeight="1">
      <c r="A39" s="483" t="s">
        <v>601</v>
      </c>
      <c r="B39" s="484"/>
      <c r="C39" s="484"/>
      <c r="D39" s="485"/>
      <c r="E39" s="486"/>
    </row>
    <row r="40" spans="1:5" ht="15.75" customHeight="1" thickBot="1">
      <c r="A40" s="487" t="s">
        <v>602</v>
      </c>
      <c r="B40" s="488"/>
      <c r="C40" s="488"/>
      <c r="D40" s="489"/>
      <c r="E40" s="490"/>
    </row>
    <row r="41" spans="1:5" ht="15.75" customHeight="1" thickBot="1">
      <c r="A41" s="957" t="s">
        <v>37</v>
      </c>
      <c r="B41" s="958"/>
      <c r="C41" s="491"/>
      <c r="D41" s="492">
        <f>SUM(D8:D40)</f>
        <v>10636400</v>
      </c>
      <c r="E41" s="493">
        <f>SUM(E8:E40)</f>
        <v>10656872</v>
      </c>
    </row>
  </sheetData>
  <sheetProtection sheet="1"/>
  <mergeCells count="4">
    <mergeCell ref="A41:B4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76"/>
  <sheetViews>
    <sheetView tabSelected="1" zoomScale="120" zoomScaleNormal="120" zoomScaleSheetLayoutView="120" workbookViewId="0" topLeftCell="A1">
      <selection activeCell="A2" sqref="A2:E2"/>
    </sheetView>
  </sheetViews>
  <sheetFormatPr defaultColWidth="12.00390625" defaultRowHeight="12.75"/>
  <cols>
    <col min="1" max="1" width="67.125" style="494" customWidth="1"/>
    <col min="2" max="2" width="6.125" style="495" customWidth="1"/>
    <col min="3" max="4" width="12.125" style="494" customWidth="1"/>
    <col min="5" max="5" width="12.125" style="521" customWidth="1"/>
    <col min="6" max="16384" width="12.00390625" style="494" customWidth="1"/>
  </cols>
  <sheetData>
    <row r="1" spans="1:5" ht="15.75">
      <c r="A1" s="962" t="str">
        <f>CONCATENATE("30. melléklet ",Z_ALAPADATOK!A7," ",Z_ALAPADATOK!B7," ",Z_ALAPADATOK!C7," ",Z_ALAPADATOK!D7," ",Z_ALAPADATOK!E7," ",Z_ALAPADATOK!F7," ",Z_ALAPADATOK!G7," ",Z_ALAPADATOK!H7)</f>
        <v>30. melléklet a 8 / 2021. ( V.25 ) önkormányzati rendelethez</v>
      </c>
      <c r="B1" s="815"/>
      <c r="C1" s="815"/>
      <c r="D1" s="815"/>
      <c r="E1" s="815"/>
    </row>
    <row r="2" spans="1:5" ht="15.75">
      <c r="A2" s="963" t="s">
        <v>771</v>
      </c>
      <c r="B2" s="964"/>
      <c r="C2" s="964"/>
      <c r="D2" s="964"/>
      <c r="E2" s="964"/>
    </row>
    <row r="3" spans="1:5" ht="16.5" customHeight="1">
      <c r="A3" s="963" t="s">
        <v>772</v>
      </c>
      <c r="B3" s="964"/>
      <c r="C3" s="964"/>
      <c r="D3" s="964"/>
      <c r="E3" s="964"/>
    </row>
    <row r="4" spans="1:5" ht="16.5" customHeight="1">
      <c r="A4" s="965" t="str">
        <f>CONCATENATE(Z_ALAPADATOK!B1,". év")</f>
        <v>2020. év</v>
      </c>
      <c r="B4" s="966"/>
      <c r="C4" s="966"/>
      <c r="D4" s="966"/>
      <c r="E4" s="966"/>
    </row>
    <row r="5" spans="1:5" ht="16.5" customHeight="1" thickBot="1">
      <c r="A5" s="624"/>
      <c r="B5" s="625"/>
      <c r="C5" s="967">
        <f>'29'!E6</f>
        <v>0</v>
      </c>
      <c r="D5" s="967"/>
      <c r="E5" s="967"/>
    </row>
    <row r="6" spans="1:5" ht="15.75" customHeight="1">
      <c r="A6" s="968" t="s">
        <v>603</v>
      </c>
      <c r="B6" s="971" t="s">
        <v>604</v>
      </c>
      <c r="C6" s="974" t="s">
        <v>605</v>
      </c>
      <c r="D6" s="974" t="s">
        <v>606</v>
      </c>
      <c r="E6" s="976" t="s">
        <v>607</v>
      </c>
    </row>
    <row r="7" spans="1:5" ht="11.25" customHeight="1">
      <c r="A7" s="969"/>
      <c r="B7" s="972"/>
      <c r="C7" s="975"/>
      <c r="D7" s="975"/>
      <c r="E7" s="977"/>
    </row>
    <row r="8" spans="1:5" ht="15.75">
      <c r="A8" s="970"/>
      <c r="B8" s="973"/>
      <c r="C8" s="978" t="s">
        <v>608</v>
      </c>
      <c r="D8" s="978"/>
      <c r="E8" s="979"/>
    </row>
    <row r="9" spans="1:5" s="496" customFormat="1" ht="16.5" thickBot="1">
      <c r="A9" s="626" t="s">
        <v>609</v>
      </c>
      <c r="B9" s="627" t="s">
        <v>387</v>
      </c>
      <c r="C9" s="627" t="s">
        <v>388</v>
      </c>
      <c r="D9" s="627" t="s">
        <v>390</v>
      </c>
      <c r="E9" s="628" t="s">
        <v>389</v>
      </c>
    </row>
    <row r="10" spans="1:5" s="501" customFormat="1" ht="15.75">
      <c r="A10" s="497" t="s">
        <v>610</v>
      </c>
      <c r="B10" s="498" t="s">
        <v>611</v>
      </c>
      <c r="C10" s="499">
        <v>237086</v>
      </c>
      <c r="D10" s="499">
        <v>237086</v>
      </c>
      <c r="E10" s="500"/>
    </row>
    <row r="11" spans="1:5" s="501" customFormat="1" ht="15.75">
      <c r="A11" s="502" t="s">
        <v>612</v>
      </c>
      <c r="B11" s="503" t="s">
        <v>613</v>
      </c>
      <c r="C11" s="504">
        <f>+C12+C17+C22+C27+C32</f>
        <v>1837967670</v>
      </c>
      <c r="D11" s="504">
        <f>+D12+D17+D22+D27+D32</f>
        <v>1837967670</v>
      </c>
      <c r="E11" s="505">
        <f>+E12+E17+E22+E27+E32</f>
        <v>0</v>
      </c>
    </row>
    <row r="12" spans="1:5" s="501" customFormat="1" ht="15.75">
      <c r="A12" s="502" t="s">
        <v>614</v>
      </c>
      <c r="B12" s="503" t="s">
        <v>615</v>
      </c>
      <c r="C12" s="504">
        <f>+C13+C14+C15+C16</f>
        <v>1789287169</v>
      </c>
      <c r="D12" s="504">
        <f>+D13+D14+D15+D16</f>
        <v>1789287169</v>
      </c>
      <c r="E12" s="505">
        <f>+E13+E14+E15+E16</f>
        <v>0</v>
      </c>
    </row>
    <row r="13" spans="1:5" s="501" customFormat="1" ht="15.75">
      <c r="A13" s="506" t="s">
        <v>616</v>
      </c>
      <c r="B13" s="503" t="s">
        <v>617</v>
      </c>
      <c r="C13" s="507"/>
      <c r="D13" s="507"/>
      <c r="E13" s="508"/>
    </row>
    <row r="14" spans="1:5" s="501" customFormat="1" ht="26.25" customHeight="1">
      <c r="A14" s="506" t="s">
        <v>618</v>
      </c>
      <c r="B14" s="503" t="s">
        <v>619</v>
      </c>
      <c r="C14" s="509"/>
      <c r="D14" s="509"/>
      <c r="E14" s="510"/>
    </row>
    <row r="15" spans="1:5" s="501" customFormat="1" ht="15.75">
      <c r="A15" s="506" t="s">
        <v>620</v>
      </c>
      <c r="B15" s="503" t="s">
        <v>621</v>
      </c>
      <c r="C15" s="509">
        <v>291209285</v>
      </c>
      <c r="D15" s="509">
        <v>291209285</v>
      </c>
      <c r="E15" s="510"/>
    </row>
    <row r="16" spans="1:5" s="501" customFormat="1" ht="15.75">
      <c r="A16" s="506" t="s">
        <v>622</v>
      </c>
      <c r="B16" s="503" t="s">
        <v>623</v>
      </c>
      <c r="C16" s="509">
        <v>1498077884</v>
      </c>
      <c r="D16" s="509">
        <v>1498077884</v>
      </c>
      <c r="E16" s="510"/>
    </row>
    <row r="17" spans="1:5" s="501" customFormat="1" ht="15.75">
      <c r="A17" s="502" t="s">
        <v>624</v>
      </c>
      <c r="B17" s="503" t="s">
        <v>625</v>
      </c>
      <c r="C17" s="511">
        <f>+C18+C19+C20+C21</f>
        <v>44412810</v>
      </c>
      <c r="D17" s="511">
        <f>+D18+D19+D20+D21</f>
        <v>44412810</v>
      </c>
      <c r="E17" s="512">
        <f>+E18+E19+E20+E21</f>
        <v>0</v>
      </c>
    </row>
    <row r="18" spans="1:5" s="501" customFormat="1" ht="15.75">
      <c r="A18" s="506" t="s">
        <v>626</v>
      </c>
      <c r="B18" s="503" t="s">
        <v>627</v>
      </c>
      <c r="C18" s="509"/>
      <c r="D18" s="509"/>
      <c r="E18" s="510"/>
    </row>
    <row r="19" spans="1:5" s="501" customFormat="1" ht="22.5">
      <c r="A19" s="506" t="s">
        <v>628</v>
      </c>
      <c r="B19" s="503" t="s">
        <v>15</v>
      </c>
      <c r="C19" s="509"/>
      <c r="D19" s="509"/>
      <c r="E19" s="510"/>
    </row>
    <row r="20" spans="1:5" s="501" customFormat="1" ht="15.75">
      <c r="A20" s="506" t="s">
        <v>629</v>
      </c>
      <c r="B20" s="503" t="s">
        <v>16</v>
      </c>
      <c r="C20" s="509"/>
      <c r="D20" s="509"/>
      <c r="E20" s="510"/>
    </row>
    <row r="21" spans="1:5" s="501" customFormat="1" ht="15.75">
      <c r="A21" s="506" t="s">
        <v>630</v>
      </c>
      <c r="B21" s="503" t="s">
        <v>17</v>
      </c>
      <c r="C21" s="509">
        <v>44412810</v>
      </c>
      <c r="D21" s="509">
        <v>44412810</v>
      </c>
      <c r="E21" s="510"/>
    </row>
    <row r="22" spans="1:5" s="501" customFormat="1" ht="15.75">
      <c r="A22" s="502" t="s">
        <v>631</v>
      </c>
      <c r="B22" s="503" t="s">
        <v>18</v>
      </c>
      <c r="C22" s="511">
        <f>+C23+C24+C25+C26</f>
        <v>341867</v>
      </c>
      <c r="D22" s="511">
        <f>+D23+D24+D25+D26</f>
        <v>341867</v>
      </c>
      <c r="E22" s="512">
        <f>+E23+E24+E25+E26</f>
        <v>0</v>
      </c>
    </row>
    <row r="23" spans="1:5" s="501" customFormat="1" ht="15.75">
      <c r="A23" s="506" t="s">
        <v>632</v>
      </c>
      <c r="B23" s="503" t="s">
        <v>19</v>
      </c>
      <c r="C23" s="509"/>
      <c r="D23" s="509"/>
      <c r="E23" s="510"/>
    </row>
    <row r="24" spans="1:5" s="501" customFormat="1" ht="15.75">
      <c r="A24" s="506" t="s">
        <v>633</v>
      </c>
      <c r="B24" s="503" t="s">
        <v>20</v>
      </c>
      <c r="C24" s="509"/>
      <c r="D24" s="509"/>
      <c r="E24" s="510"/>
    </row>
    <row r="25" spans="1:5" s="501" customFormat="1" ht="15.75">
      <c r="A25" s="506" t="s">
        <v>634</v>
      </c>
      <c r="B25" s="503" t="s">
        <v>21</v>
      </c>
      <c r="C25" s="509"/>
      <c r="D25" s="509"/>
      <c r="E25" s="510"/>
    </row>
    <row r="26" spans="1:5" s="501" customFormat="1" ht="15.75">
      <c r="A26" s="506" t="s">
        <v>635</v>
      </c>
      <c r="B26" s="503" t="s">
        <v>22</v>
      </c>
      <c r="C26" s="509">
        <v>341867</v>
      </c>
      <c r="D26" s="509">
        <v>341867</v>
      </c>
      <c r="E26" s="510"/>
    </row>
    <row r="27" spans="1:5" s="501" customFormat="1" ht="15.75">
      <c r="A27" s="502" t="s">
        <v>636</v>
      </c>
      <c r="B27" s="503" t="s">
        <v>23</v>
      </c>
      <c r="C27" s="511">
        <f>+C28+C29+C30+C31</f>
        <v>3925824</v>
      </c>
      <c r="D27" s="511">
        <f>+D28+D29+D30+D31</f>
        <v>3925824</v>
      </c>
      <c r="E27" s="512">
        <f>+E28+E29+E30+E31</f>
        <v>0</v>
      </c>
    </row>
    <row r="28" spans="1:5" s="501" customFormat="1" ht="15.75">
      <c r="A28" s="506" t="s">
        <v>637</v>
      </c>
      <c r="B28" s="503" t="s">
        <v>24</v>
      </c>
      <c r="C28" s="509"/>
      <c r="D28" s="509"/>
      <c r="E28" s="510"/>
    </row>
    <row r="29" spans="1:5" s="501" customFormat="1" ht="15.75">
      <c r="A29" s="506" t="s">
        <v>638</v>
      </c>
      <c r="B29" s="503" t="s">
        <v>25</v>
      </c>
      <c r="C29" s="509"/>
      <c r="D29" s="509"/>
      <c r="E29" s="510"/>
    </row>
    <row r="30" spans="1:5" s="501" customFormat="1" ht="15.75">
      <c r="A30" s="506" t="s">
        <v>639</v>
      </c>
      <c r="B30" s="503" t="s">
        <v>26</v>
      </c>
      <c r="C30" s="509"/>
      <c r="D30" s="509"/>
      <c r="E30" s="510"/>
    </row>
    <row r="31" spans="1:5" s="501" customFormat="1" ht="15.75">
      <c r="A31" s="506" t="s">
        <v>640</v>
      </c>
      <c r="B31" s="503" t="s">
        <v>27</v>
      </c>
      <c r="C31" s="509">
        <v>3925824</v>
      </c>
      <c r="D31" s="509">
        <v>3925824</v>
      </c>
      <c r="E31" s="510"/>
    </row>
    <row r="32" spans="1:5" s="501" customFormat="1" ht="15.75">
      <c r="A32" s="502" t="s">
        <v>641</v>
      </c>
      <c r="B32" s="503" t="s">
        <v>28</v>
      </c>
      <c r="C32" s="511">
        <f>+C33+C34+C35+C36</f>
        <v>0</v>
      </c>
      <c r="D32" s="511">
        <f>+D33+D34+D35+D36</f>
        <v>0</v>
      </c>
      <c r="E32" s="512">
        <f>+E33+E34+E35+E36</f>
        <v>0</v>
      </c>
    </row>
    <row r="33" spans="1:5" s="501" customFormat="1" ht="15.75">
      <c r="A33" s="506" t="s">
        <v>642</v>
      </c>
      <c r="B33" s="503" t="s">
        <v>29</v>
      </c>
      <c r="C33" s="509"/>
      <c r="D33" s="509"/>
      <c r="E33" s="510"/>
    </row>
    <row r="34" spans="1:5" s="501" customFormat="1" ht="22.5">
      <c r="A34" s="506" t="s">
        <v>643</v>
      </c>
      <c r="B34" s="503" t="s">
        <v>30</v>
      </c>
      <c r="C34" s="509"/>
      <c r="D34" s="509"/>
      <c r="E34" s="510"/>
    </row>
    <row r="35" spans="1:5" s="501" customFormat="1" ht="15.75">
      <c r="A35" s="506" t="s">
        <v>644</v>
      </c>
      <c r="B35" s="503" t="s">
        <v>31</v>
      </c>
      <c r="C35" s="509"/>
      <c r="D35" s="509"/>
      <c r="E35" s="510"/>
    </row>
    <row r="36" spans="1:5" s="501" customFormat="1" ht="15.75">
      <c r="A36" s="506" t="s">
        <v>645</v>
      </c>
      <c r="B36" s="503" t="s">
        <v>32</v>
      </c>
      <c r="C36" s="509"/>
      <c r="D36" s="509"/>
      <c r="E36" s="510"/>
    </row>
    <row r="37" spans="1:5" s="501" customFormat="1" ht="15.75">
      <c r="A37" s="502" t="s">
        <v>646</v>
      </c>
      <c r="B37" s="503" t="s">
        <v>33</v>
      </c>
      <c r="C37" s="511">
        <f>+C38+C43+C48</f>
        <v>21579832</v>
      </c>
      <c r="D37" s="511">
        <f>+D38+D43+D48</f>
        <v>21579832</v>
      </c>
      <c r="E37" s="512">
        <f>+E38+E43+E48</f>
        <v>0</v>
      </c>
    </row>
    <row r="38" spans="1:5" s="501" customFormat="1" ht="15.75">
      <c r="A38" s="502" t="s">
        <v>647</v>
      </c>
      <c r="B38" s="503" t="s">
        <v>598</v>
      </c>
      <c r="C38" s="511">
        <f>+C39+C40+C41+C42</f>
        <v>21579832</v>
      </c>
      <c r="D38" s="511">
        <f>+D39+D40+D41+D42</f>
        <v>21579832</v>
      </c>
      <c r="E38" s="512">
        <f>+E39+E40+E41+E42</f>
        <v>0</v>
      </c>
    </row>
    <row r="39" spans="1:5" s="501" customFormat="1" ht="15.75">
      <c r="A39" s="506" t="s">
        <v>648</v>
      </c>
      <c r="B39" s="503" t="s">
        <v>599</v>
      </c>
      <c r="C39" s="509"/>
      <c r="D39" s="509"/>
      <c r="E39" s="510"/>
    </row>
    <row r="40" spans="1:5" s="501" customFormat="1" ht="15.75">
      <c r="A40" s="506" t="s">
        <v>649</v>
      </c>
      <c r="B40" s="503" t="s">
        <v>600</v>
      </c>
      <c r="C40" s="509"/>
      <c r="D40" s="509"/>
      <c r="E40" s="510"/>
    </row>
    <row r="41" spans="1:5" s="501" customFormat="1" ht="15.75">
      <c r="A41" s="506" t="s">
        <v>650</v>
      </c>
      <c r="B41" s="503" t="s">
        <v>601</v>
      </c>
      <c r="C41" s="509">
        <v>100000</v>
      </c>
      <c r="D41" s="509">
        <v>100000</v>
      </c>
      <c r="E41" s="510"/>
    </row>
    <row r="42" spans="1:5" s="501" customFormat="1" ht="15.75">
      <c r="A42" s="506" t="s">
        <v>651</v>
      </c>
      <c r="B42" s="503" t="s">
        <v>602</v>
      </c>
      <c r="C42" s="509">
        <v>21479832</v>
      </c>
      <c r="D42" s="509">
        <v>21479832</v>
      </c>
      <c r="E42" s="510"/>
    </row>
    <row r="43" spans="1:5" s="501" customFormat="1" ht="15.75">
      <c r="A43" s="502" t="s">
        <v>652</v>
      </c>
      <c r="B43" s="503" t="s">
        <v>653</v>
      </c>
      <c r="C43" s="511">
        <f>+C44+C45+C46+C47</f>
        <v>0</v>
      </c>
      <c r="D43" s="511">
        <f>+D44+D45+D46+D47</f>
        <v>0</v>
      </c>
      <c r="E43" s="512">
        <f>+E44+E45+E46+E47</f>
        <v>0</v>
      </c>
    </row>
    <row r="44" spans="1:5" s="501" customFormat="1" ht="15.75">
      <c r="A44" s="506" t="s">
        <v>654</v>
      </c>
      <c r="B44" s="503" t="s">
        <v>655</v>
      </c>
      <c r="C44" s="509"/>
      <c r="D44" s="509"/>
      <c r="E44" s="510"/>
    </row>
    <row r="45" spans="1:5" s="501" customFormat="1" ht="22.5">
      <c r="A45" s="506" t="s">
        <v>656</v>
      </c>
      <c r="B45" s="503" t="s">
        <v>657</v>
      </c>
      <c r="C45" s="509"/>
      <c r="D45" s="509"/>
      <c r="E45" s="510"/>
    </row>
    <row r="46" spans="1:5" s="501" customFormat="1" ht="15.75">
      <c r="A46" s="506" t="s">
        <v>658</v>
      </c>
      <c r="B46" s="503" t="s">
        <v>659</v>
      </c>
      <c r="C46" s="509"/>
      <c r="D46" s="509"/>
      <c r="E46" s="510"/>
    </row>
    <row r="47" spans="1:5" s="501" customFormat="1" ht="15.75">
      <c r="A47" s="506" t="s">
        <v>660</v>
      </c>
      <c r="B47" s="503" t="s">
        <v>661</v>
      </c>
      <c r="C47" s="509"/>
      <c r="D47" s="509"/>
      <c r="E47" s="510"/>
    </row>
    <row r="48" spans="1:5" s="501" customFormat="1" ht="15.75">
      <c r="A48" s="502" t="s">
        <v>662</v>
      </c>
      <c r="B48" s="503" t="s">
        <v>663</v>
      </c>
      <c r="C48" s="511">
        <f>+C49+C50+C51+C52</f>
        <v>0</v>
      </c>
      <c r="D48" s="511">
        <f>+D49+D50+D51+D52</f>
        <v>0</v>
      </c>
      <c r="E48" s="512">
        <f>+E49+E50+E51+E52</f>
        <v>0</v>
      </c>
    </row>
    <row r="49" spans="1:5" s="501" customFormat="1" ht="15.75">
      <c r="A49" s="506" t="s">
        <v>664</v>
      </c>
      <c r="B49" s="503" t="s">
        <v>665</v>
      </c>
      <c r="C49" s="509"/>
      <c r="D49" s="509"/>
      <c r="E49" s="510"/>
    </row>
    <row r="50" spans="1:5" s="501" customFormat="1" ht="22.5">
      <c r="A50" s="506" t="s">
        <v>666</v>
      </c>
      <c r="B50" s="503" t="s">
        <v>667</v>
      </c>
      <c r="C50" s="509"/>
      <c r="D50" s="509"/>
      <c r="E50" s="510"/>
    </row>
    <row r="51" spans="1:5" s="501" customFormat="1" ht="15.75">
      <c r="A51" s="506" t="s">
        <v>668</v>
      </c>
      <c r="B51" s="503" t="s">
        <v>669</v>
      </c>
      <c r="C51" s="509"/>
      <c r="D51" s="509"/>
      <c r="E51" s="510"/>
    </row>
    <row r="52" spans="1:5" s="501" customFormat="1" ht="15.75">
      <c r="A52" s="506" t="s">
        <v>670</v>
      </c>
      <c r="B52" s="503" t="s">
        <v>671</v>
      </c>
      <c r="C52" s="509"/>
      <c r="D52" s="509"/>
      <c r="E52" s="510"/>
    </row>
    <row r="53" spans="1:5" s="501" customFormat="1" ht="15.75">
      <c r="A53" s="502" t="s">
        <v>672</v>
      </c>
      <c r="B53" s="503" t="s">
        <v>673</v>
      </c>
      <c r="C53" s="509"/>
      <c r="D53" s="509"/>
      <c r="E53" s="510"/>
    </row>
    <row r="54" spans="1:5" s="501" customFormat="1" ht="21">
      <c r="A54" s="502" t="s">
        <v>674</v>
      </c>
      <c r="B54" s="503" t="s">
        <v>675</v>
      </c>
      <c r="C54" s="511">
        <f>+C10+C11+C37+C53</f>
        <v>1859784588</v>
      </c>
      <c r="D54" s="511">
        <f>+D10+D11+D37+D53</f>
        <v>1859784588</v>
      </c>
      <c r="E54" s="512">
        <f>+E10+E11+E37+E53</f>
        <v>0</v>
      </c>
    </row>
    <row r="55" spans="1:5" s="501" customFormat="1" ht="15.75">
      <c r="A55" s="502" t="s">
        <v>676</v>
      </c>
      <c r="B55" s="503" t="s">
        <v>677</v>
      </c>
      <c r="C55" s="509">
        <v>878124</v>
      </c>
      <c r="D55" s="509">
        <v>878124</v>
      </c>
      <c r="E55" s="510"/>
    </row>
    <row r="56" spans="1:5" s="501" customFormat="1" ht="15.75">
      <c r="A56" s="502" t="s">
        <v>678</v>
      </c>
      <c r="B56" s="503" t="s">
        <v>679</v>
      </c>
      <c r="C56" s="509"/>
      <c r="D56" s="509"/>
      <c r="E56" s="510"/>
    </row>
    <row r="57" spans="1:5" s="501" customFormat="1" ht="15.75">
      <c r="A57" s="502" t="s">
        <v>680</v>
      </c>
      <c r="B57" s="503" t="s">
        <v>681</v>
      </c>
      <c r="C57" s="511">
        <f>+C55+C56</f>
        <v>878124</v>
      </c>
      <c r="D57" s="511">
        <f>+D55+D56</f>
        <v>878124</v>
      </c>
      <c r="E57" s="512">
        <f>+E55+E56</f>
        <v>0</v>
      </c>
    </row>
    <row r="58" spans="1:5" s="501" customFormat="1" ht="15.75">
      <c r="A58" s="502" t="s">
        <v>682</v>
      </c>
      <c r="B58" s="503" t="s">
        <v>683</v>
      </c>
      <c r="C58" s="509"/>
      <c r="D58" s="509"/>
      <c r="E58" s="510"/>
    </row>
    <row r="59" spans="1:5" s="501" customFormat="1" ht="15.75">
      <c r="A59" s="502" t="s">
        <v>684</v>
      </c>
      <c r="B59" s="503" t="s">
        <v>685</v>
      </c>
      <c r="C59" s="509"/>
      <c r="D59" s="509"/>
      <c r="E59" s="510"/>
    </row>
    <row r="60" spans="1:5" s="501" customFormat="1" ht="15.75">
      <c r="A60" s="502" t="s">
        <v>686</v>
      </c>
      <c r="B60" s="503" t="s">
        <v>687</v>
      </c>
      <c r="C60" s="509">
        <v>535120</v>
      </c>
      <c r="D60" s="509">
        <v>535120</v>
      </c>
      <c r="E60" s="510"/>
    </row>
    <row r="61" spans="1:5" s="501" customFormat="1" ht="15.75">
      <c r="A61" s="502" t="s">
        <v>688</v>
      </c>
      <c r="B61" s="503" t="s">
        <v>689</v>
      </c>
      <c r="C61" s="509">
        <v>197396545</v>
      </c>
      <c r="D61" s="509">
        <v>197396545</v>
      </c>
      <c r="E61" s="510"/>
    </row>
    <row r="62" spans="1:5" s="501" customFormat="1" ht="15.75">
      <c r="A62" s="502" t="s">
        <v>690</v>
      </c>
      <c r="B62" s="503" t="s">
        <v>691</v>
      </c>
      <c r="C62" s="511">
        <f>+C58+C59+C60+C61</f>
        <v>197931665</v>
      </c>
      <c r="D62" s="511">
        <f>+D58+D59+D60+D61</f>
        <v>197931665</v>
      </c>
      <c r="E62" s="512">
        <f>+E58+E59+E60+E61</f>
        <v>0</v>
      </c>
    </row>
    <row r="63" spans="1:5" s="501" customFormat="1" ht="15.75">
      <c r="A63" s="502" t="s">
        <v>692</v>
      </c>
      <c r="B63" s="503" t="s">
        <v>693</v>
      </c>
      <c r="C63" s="509">
        <v>74741419</v>
      </c>
      <c r="D63" s="509">
        <v>74741419</v>
      </c>
      <c r="E63" s="510"/>
    </row>
    <row r="64" spans="1:5" s="501" customFormat="1" ht="15.75">
      <c r="A64" s="502" t="s">
        <v>694</v>
      </c>
      <c r="B64" s="503" t="s">
        <v>695</v>
      </c>
      <c r="C64" s="509"/>
      <c r="D64" s="509"/>
      <c r="E64" s="510"/>
    </row>
    <row r="65" spans="1:5" s="501" customFormat="1" ht="15.75">
      <c r="A65" s="502" t="s">
        <v>696</v>
      </c>
      <c r="B65" s="503" t="s">
        <v>697</v>
      </c>
      <c r="C65" s="509">
        <v>400579</v>
      </c>
      <c r="D65" s="509">
        <v>400579</v>
      </c>
      <c r="E65" s="510"/>
    </row>
    <row r="66" spans="1:5" s="501" customFormat="1" ht="15.75">
      <c r="A66" s="502" t="s">
        <v>698</v>
      </c>
      <c r="B66" s="503" t="s">
        <v>699</v>
      </c>
      <c r="C66" s="511">
        <f>+C63+C64+C65</f>
        <v>75141998</v>
      </c>
      <c r="D66" s="511">
        <f>+D63+D64+D65</f>
        <v>75141998</v>
      </c>
      <c r="E66" s="512">
        <f>+E63+E64+E65</f>
        <v>0</v>
      </c>
    </row>
    <row r="67" spans="1:5" s="501" customFormat="1" ht="15.75">
      <c r="A67" s="502" t="s">
        <v>700</v>
      </c>
      <c r="B67" s="503" t="s">
        <v>701</v>
      </c>
      <c r="C67" s="509">
        <v>-805000</v>
      </c>
      <c r="D67" s="509">
        <v>-805000</v>
      </c>
      <c r="E67" s="510"/>
    </row>
    <row r="68" spans="1:5" s="501" customFormat="1" ht="21">
      <c r="A68" s="502" t="s">
        <v>702</v>
      </c>
      <c r="B68" s="503" t="s">
        <v>703</v>
      </c>
      <c r="C68" s="509"/>
      <c r="D68" s="509"/>
      <c r="E68" s="510"/>
    </row>
    <row r="69" spans="1:5" s="501" customFormat="1" ht="15.75">
      <c r="A69" s="502" t="s">
        <v>769</v>
      </c>
      <c r="B69" s="503" t="s">
        <v>704</v>
      </c>
      <c r="C69" s="511">
        <f>+C67+C68</f>
        <v>-805000</v>
      </c>
      <c r="D69" s="511">
        <f>+D67+D68</f>
        <v>-805000</v>
      </c>
      <c r="E69" s="512">
        <f>+E67+E68</f>
        <v>0</v>
      </c>
    </row>
    <row r="70" spans="1:5" s="501" customFormat="1" ht="15.75">
      <c r="A70" s="502" t="s">
        <v>705</v>
      </c>
      <c r="B70" s="503" t="s">
        <v>706</v>
      </c>
      <c r="C70" s="509"/>
      <c r="D70" s="509"/>
      <c r="E70" s="510"/>
    </row>
    <row r="71" spans="1:5" s="501" customFormat="1" ht="16.5" thickBot="1">
      <c r="A71" s="513" t="s">
        <v>707</v>
      </c>
      <c r="B71" s="514" t="s">
        <v>708</v>
      </c>
      <c r="C71" s="515">
        <f>+C54+C57+C62+C66+C69+C70</f>
        <v>2132931375</v>
      </c>
      <c r="D71" s="515">
        <f>+D54+D57+D62+D66+D69+D70</f>
        <v>2132931375</v>
      </c>
      <c r="E71" s="516">
        <f>+E54+E57+E62+E66+E69+E70</f>
        <v>0</v>
      </c>
    </row>
    <row r="72" spans="1:5" ht="15.75">
      <c r="A72" s="517"/>
      <c r="C72" s="518"/>
      <c r="D72" s="518"/>
      <c r="E72" s="519"/>
    </row>
    <row r="73" spans="1:5" ht="15.75">
      <c r="A73" s="517"/>
      <c r="C73" s="518"/>
      <c r="D73" s="518"/>
      <c r="E73" s="519"/>
    </row>
    <row r="74" spans="1:5" ht="15.75">
      <c r="A74" s="520"/>
      <c r="C74" s="518"/>
      <c r="D74" s="518"/>
      <c r="E74" s="519"/>
    </row>
    <row r="75" spans="1:5" ht="15.75">
      <c r="A75" s="961"/>
      <c r="B75" s="961"/>
      <c r="C75" s="961"/>
      <c r="D75" s="961"/>
      <c r="E75" s="961"/>
    </row>
    <row r="76" spans="1:5" ht="15.75">
      <c r="A76" s="961"/>
      <c r="B76" s="961"/>
      <c r="C76" s="961"/>
      <c r="D76" s="961"/>
      <c r="E76" s="961"/>
    </row>
  </sheetData>
  <sheetProtection sheet="1"/>
  <mergeCells count="13">
    <mergeCell ref="D6:D7"/>
    <mergeCell ref="E6:E7"/>
    <mergeCell ref="C8:E8"/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</mergeCells>
  <printOptions horizontalCentered="1"/>
  <pageMargins left="0.7874015748031497" right="0.8267716535433072" top="0.9055118110236221" bottom="0.984251968503937" header="0.7874015748031497" footer="0.7874015748031497"/>
  <pageSetup horizontalDpi="600" verticalDpi="6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view="pageLayout" zoomScaleNormal="120" workbookViewId="0" topLeftCell="A37">
      <selection activeCell="A2" sqref="A2"/>
    </sheetView>
  </sheetViews>
  <sheetFormatPr defaultColWidth="9.00390625" defaultRowHeight="12.75"/>
  <cols>
    <col min="1" max="1" width="71.125" style="523" customWidth="1"/>
    <col min="2" max="2" width="6.125" style="535" customWidth="1"/>
    <col min="3" max="3" width="18.00390625" style="522" customWidth="1"/>
    <col min="4" max="16384" width="9.375" style="522" customWidth="1"/>
  </cols>
  <sheetData>
    <row r="1" spans="1:3" ht="16.5" customHeight="1">
      <c r="A1" s="981" t="str">
        <f>CONCATENATE("31. melléklet ",Z_ALAPADATOK!A7," ",Z_ALAPADATOK!B7," ",Z_ALAPADATOK!C7," ",Z_ALAPADATOK!D7," ",Z_ALAPADATOK!E7," ",Z_ALAPADATOK!F7," ",Z_ALAPADATOK!G7," ",Z_ALAPADATOK!H7)</f>
        <v>31. melléklet a 8 / 2021. ( V.25 ) önkormányzati rendelethez</v>
      </c>
      <c r="B1" s="982"/>
      <c r="C1" s="982"/>
    </row>
    <row r="2" spans="1:3" ht="16.5" customHeight="1">
      <c r="A2" s="629"/>
      <c r="B2" s="630"/>
      <c r="C2" s="631"/>
    </row>
    <row r="3" spans="1:3" ht="16.5" customHeight="1">
      <c r="A3" s="985" t="s">
        <v>771</v>
      </c>
      <c r="B3" s="985"/>
      <c r="C3" s="985"/>
    </row>
    <row r="4" spans="1:3" ht="16.5" customHeight="1">
      <c r="A4" s="983" t="s">
        <v>813</v>
      </c>
      <c r="B4" s="983"/>
      <c r="C4" s="983"/>
    </row>
    <row r="5" spans="1:3" ht="16.5" customHeight="1">
      <c r="A5" s="983" t="str">
        <f>'30'!A4</f>
        <v>2020. év</v>
      </c>
      <c r="B5" s="984"/>
      <c r="C5" s="984"/>
    </row>
    <row r="6" spans="1:3" ht="13.5" thickBot="1">
      <c r="A6" s="629"/>
      <c r="B6" s="986">
        <f>'29'!E6</f>
        <v>0</v>
      </c>
      <c r="C6" s="986"/>
    </row>
    <row r="7" spans="1:3" s="524" customFormat="1" ht="31.5" customHeight="1">
      <c r="A7" s="987" t="s">
        <v>709</v>
      </c>
      <c r="B7" s="989" t="s">
        <v>604</v>
      </c>
      <c r="C7" s="991" t="s">
        <v>710</v>
      </c>
    </row>
    <row r="8" spans="1:3" s="524" customFormat="1" ht="12.75">
      <c r="A8" s="988"/>
      <c r="B8" s="990"/>
      <c r="C8" s="992"/>
    </row>
    <row r="9" spans="1:3" s="525" customFormat="1" ht="13.5" thickBot="1">
      <c r="A9" s="632" t="s">
        <v>386</v>
      </c>
      <c r="B9" s="633" t="s">
        <v>387</v>
      </c>
      <c r="C9" s="634" t="s">
        <v>388</v>
      </c>
    </row>
    <row r="10" spans="1:3" ht="15.75" customHeight="1">
      <c r="A10" s="502" t="s">
        <v>711</v>
      </c>
      <c r="B10" s="526" t="s">
        <v>611</v>
      </c>
      <c r="C10" s="527">
        <v>1453900890</v>
      </c>
    </row>
    <row r="11" spans="1:3" ht="15.75" customHeight="1">
      <c r="A11" s="502" t="s">
        <v>712</v>
      </c>
      <c r="B11" s="503" t="s">
        <v>613</v>
      </c>
      <c r="C11" s="527"/>
    </row>
    <row r="12" spans="1:3" ht="15.75" customHeight="1">
      <c r="A12" s="502" t="s">
        <v>713</v>
      </c>
      <c r="B12" s="503" t="s">
        <v>615</v>
      </c>
      <c r="C12" s="527"/>
    </row>
    <row r="13" spans="1:3" ht="15.75" customHeight="1">
      <c r="A13" s="502" t="s">
        <v>714</v>
      </c>
      <c r="B13" s="503" t="s">
        <v>617</v>
      </c>
      <c r="C13" s="528">
        <v>693802838</v>
      </c>
    </row>
    <row r="14" spans="1:3" ht="15.75" customHeight="1">
      <c r="A14" s="502" t="s">
        <v>715</v>
      </c>
      <c r="B14" s="503" t="s">
        <v>619</v>
      </c>
      <c r="C14" s="528"/>
    </row>
    <row r="15" spans="1:3" ht="15.75" customHeight="1">
      <c r="A15" s="502" t="s">
        <v>716</v>
      </c>
      <c r="B15" s="503" t="s">
        <v>621</v>
      </c>
      <c r="C15" s="528">
        <v>-53816957</v>
      </c>
    </row>
    <row r="16" spans="1:3" ht="15.75" customHeight="1">
      <c r="A16" s="502" t="s">
        <v>717</v>
      </c>
      <c r="B16" s="503" t="s">
        <v>623</v>
      </c>
      <c r="C16" s="529">
        <f>+C10+C11+C12+C13+C14+C15</f>
        <v>2093886771</v>
      </c>
    </row>
    <row r="17" spans="1:3" ht="15.75" customHeight="1">
      <c r="A17" s="502" t="s">
        <v>718</v>
      </c>
      <c r="B17" s="503" t="s">
        <v>625</v>
      </c>
      <c r="C17" s="530">
        <v>5383145</v>
      </c>
    </row>
    <row r="18" spans="1:3" ht="15.75" customHeight="1">
      <c r="A18" s="502" t="s">
        <v>719</v>
      </c>
      <c r="B18" s="503" t="s">
        <v>627</v>
      </c>
      <c r="C18" s="528">
        <v>9042854</v>
      </c>
    </row>
    <row r="19" spans="1:3" ht="15.75" customHeight="1">
      <c r="A19" s="502" t="s">
        <v>720</v>
      </c>
      <c r="B19" s="503" t="s">
        <v>15</v>
      </c>
      <c r="C19" s="528">
        <v>1158495</v>
      </c>
    </row>
    <row r="20" spans="1:3" ht="15.75" customHeight="1">
      <c r="A20" s="502" t="s">
        <v>721</v>
      </c>
      <c r="B20" s="503" t="s">
        <v>16</v>
      </c>
      <c r="C20" s="529">
        <f>+C17+C18+C19</f>
        <v>15584494</v>
      </c>
    </row>
    <row r="21" spans="1:3" s="531" customFormat="1" ht="15.75" customHeight="1">
      <c r="A21" s="502" t="s">
        <v>722</v>
      </c>
      <c r="B21" s="503" t="s">
        <v>17</v>
      </c>
      <c r="C21" s="528"/>
    </row>
    <row r="22" spans="1:3" ht="15.75" customHeight="1">
      <c r="A22" s="502" t="s">
        <v>723</v>
      </c>
      <c r="B22" s="503" t="s">
        <v>18</v>
      </c>
      <c r="C22" s="528">
        <v>23460110</v>
      </c>
    </row>
    <row r="23" spans="1:3" ht="15.75" customHeight="1" thickBot="1">
      <c r="A23" s="532" t="s">
        <v>724</v>
      </c>
      <c r="B23" s="514" t="s">
        <v>19</v>
      </c>
      <c r="C23" s="533">
        <f>+C16+C20+C21+C22</f>
        <v>2132931375</v>
      </c>
    </row>
    <row r="24" spans="1:5" ht="15.75">
      <c r="A24" s="517"/>
      <c r="B24" s="520"/>
      <c r="C24" s="518"/>
      <c r="D24" s="518"/>
      <c r="E24" s="518"/>
    </row>
    <row r="25" spans="1:5" ht="15.75">
      <c r="A25" s="517"/>
      <c r="B25" s="520"/>
      <c r="C25" s="518"/>
      <c r="D25" s="518"/>
      <c r="E25" s="518"/>
    </row>
    <row r="26" spans="1:5" ht="15.75">
      <c r="A26" s="520"/>
      <c r="B26" s="520"/>
      <c r="C26" s="518"/>
      <c r="D26" s="518"/>
      <c r="E26" s="518"/>
    </row>
    <row r="27" spans="1:5" ht="15.75">
      <c r="A27" s="980"/>
      <c r="B27" s="980"/>
      <c r="C27" s="980"/>
      <c r="D27" s="534"/>
      <c r="E27" s="534"/>
    </row>
    <row r="28" spans="1:5" ht="15.75">
      <c r="A28" s="980"/>
      <c r="B28" s="980"/>
      <c r="C28" s="980"/>
      <c r="D28" s="534"/>
      <c r="E28" s="534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dőlt"Bekecs Község Önkormányzat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="120" zoomScaleNormal="120" workbookViewId="0" topLeftCell="A1">
      <selection activeCell="A2" sqref="A2"/>
    </sheetView>
  </sheetViews>
  <sheetFormatPr defaultColWidth="12.00390625" defaultRowHeight="12.75"/>
  <cols>
    <col min="1" max="1" width="58.875" style="536" customWidth="1"/>
    <col min="2" max="2" width="6.875" style="536" customWidth="1"/>
    <col min="3" max="3" width="17.125" style="536" customWidth="1"/>
    <col min="4" max="4" width="19.125" style="536" customWidth="1"/>
    <col min="5" max="16384" width="12.00390625" style="536" customWidth="1"/>
  </cols>
  <sheetData>
    <row r="1" spans="1:4" ht="16.5" customHeight="1">
      <c r="A1" s="998" t="str">
        <f>CONCATENATE("32. melléklet",Z_ALAPADATOK!A7," ",Z_ALAPADATOK!B7," ",Z_ALAPADATOK!C7," ",Z_ALAPADATOK!D7," ",Z_ALAPADATOK!E7," ",Z_ALAPADATOK!F7," ",Z_ALAPADATOK!G7," ",Z_ALAPADATOK!H7)</f>
        <v>32. mellékleta 8 / 2021. ( V.25 ) önkormányzati rendelethez</v>
      </c>
      <c r="B1" s="998"/>
      <c r="C1" s="998"/>
      <c r="D1" s="998"/>
    </row>
    <row r="2" s="635" customFormat="1" ht="16.5" customHeight="1"/>
    <row r="3" spans="1:4" s="564" customFormat="1" ht="16.5" customHeight="1">
      <c r="A3" s="999" t="s">
        <v>771</v>
      </c>
      <c r="B3" s="999"/>
      <c r="C3" s="999"/>
      <c r="D3" s="999"/>
    </row>
    <row r="4" spans="1:4" s="564" customFormat="1" ht="16.5" customHeight="1">
      <c r="A4" s="999" t="s">
        <v>775</v>
      </c>
      <c r="B4" s="999"/>
      <c r="C4" s="999"/>
      <c r="D4" s="999"/>
    </row>
    <row r="5" spans="1:4" s="564" customFormat="1" ht="16.5" customHeight="1">
      <c r="A5" s="993" t="str">
        <f>'30'!A4</f>
        <v>2020. év</v>
      </c>
      <c r="B5" s="994"/>
      <c r="C5" s="994"/>
      <c r="D5" s="994"/>
    </row>
    <row r="6" ht="16.5" customHeight="1" thickBot="1"/>
    <row r="7" spans="1:4" ht="43.5" customHeight="1" thickBot="1">
      <c r="A7" s="537" t="s">
        <v>44</v>
      </c>
      <c r="B7" s="538" t="s">
        <v>604</v>
      </c>
      <c r="C7" s="539" t="s">
        <v>725</v>
      </c>
      <c r="D7" s="540" t="s">
        <v>726</v>
      </c>
    </row>
    <row r="8" spans="1:4" ht="16.5" thickBot="1">
      <c r="A8" s="541" t="s">
        <v>386</v>
      </c>
      <c r="B8" s="542" t="s">
        <v>387</v>
      </c>
      <c r="C8" s="542" t="s">
        <v>388</v>
      </c>
      <c r="D8" s="543" t="s">
        <v>390</v>
      </c>
    </row>
    <row r="9" spans="1:4" ht="15.75" customHeight="1">
      <c r="A9" s="544" t="s">
        <v>727</v>
      </c>
      <c r="B9" s="545" t="s">
        <v>6</v>
      </c>
      <c r="C9" s="546"/>
      <c r="D9" s="547">
        <v>3923947</v>
      </c>
    </row>
    <row r="10" spans="1:4" ht="15.75" customHeight="1">
      <c r="A10" s="544" t="s">
        <v>728</v>
      </c>
      <c r="B10" s="548" t="s">
        <v>7</v>
      </c>
      <c r="C10" s="549"/>
      <c r="D10" s="550">
        <v>19749959</v>
      </c>
    </row>
    <row r="11" spans="1:4" ht="15.75" customHeight="1">
      <c r="A11" s="544" t="s">
        <v>729</v>
      </c>
      <c r="B11" s="548" t="s">
        <v>8</v>
      </c>
      <c r="C11" s="549"/>
      <c r="D11" s="550"/>
    </row>
    <row r="12" spans="1:4" ht="15.75" customHeight="1" thickBot="1">
      <c r="A12" s="551" t="s">
        <v>730</v>
      </c>
      <c r="B12" s="552" t="s">
        <v>9</v>
      </c>
      <c r="C12" s="553"/>
      <c r="D12" s="554"/>
    </row>
    <row r="13" spans="1:4" ht="15.75" customHeight="1" thickBot="1">
      <c r="A13" s="555" t="s">
        <v>731</v>
      </c>
      <c r="B13" s="556" t="s">
        <v>10</v>
      </c>
      <c r="C13" s="742"/>
      <c r="D13" s="557">
        <f>+D14+D15+D16+D17</f>
        <v>87837000</v>
      </c>
    </row>
    <row r="14" spans="1:4" ht="15.75" customHeight="1">
      <c r="A14" s="558" t="s">
        <v>732</v>
      </c>
      <c r="B14" s="545" t="s">
        <v>11</v>
      </c>
      <c r="C14" s="546"/>
      <c r="D14" s="547">
        <v>87837000</v>
      </c>
    </row>
    <row r="15" spans="1:4" ht="15.75" customHeight="1">
      <c r="A15" s="544" t="s">
        <v>733</v>
      </c>
      <c r="B15" s="548" t="s">
        <v>12</v>
      </c>
      <c r="C15" s="549"/>
      <c r="D15" s="550"/>
    </row>
    <row r="16" spans="1:4" ht="15.75" customHeight="1">
      <c r="A16" s="544" t="s">
        <v>734</v>
      </c>
      <c r="B16" s="548" t="s">
        <v>13</v>
      </c>
      <c r="C16" s="549"/>
      <c r="D16" s="550"/>
    </row>
    <row r="17" spans="1:4" ht="15.75" customHeight="1" thickBot="1">
      <c r="A17" s="551" t="s">
        <v>735</v>
      </c>
      <c r="B17" s="552" t="s">
        <v>14</v>
      </c>
      <c r="C17" s="553"/>
      <c r="D17" s="554"/>
    </row>
    <row r="18" spans="1:4" ht="15.75" customHeight="1" thickBot="1">
      <c r="A18" s="555" t="s">
        <v>736</v>
      </c>
      <c r="B18" s="556" t="s">
        <v>15</v>
      </c>
      <c r="C18" s="742"/>
      <c r="D18" s="557">
        <f>+D19+D20+D21</f>
        <v>0</v>
      </c>
    </row>
    <row r="19" spans="1:4" ht="15.75" customHeight="1">
      <c r="A19" s="558" t="s">
        <v>737</v>
      </c>
      <c r="B19" s="545" t="s">
        <v>16</v>
      </c>
      <c r="C19" s="546"/>
      <c r="D19" s="547"/>
    </row>
    <row r="20" spans="1:4" ht="15.75" customHeight="1">
      <c r="A20" s="544" t="s">
        <v>738</v>
      </c>
      <c r="B20" s="548" t="s">
        <v>17</v>
      </c>
      <c r="C20" s="549"/>
      <c r="D20" s="550"/>
    </row>
    <row r="21" spans="1:4" ht="15.75" customHeight="1" thickBot="1">
      <c r="A21" s="551" t="s">
        <v>739</v>
      </c>
      <c r="B21" s="552" t="s">
        <v>18</v>
      </c>
      <c r="C21" s="553"/>
      <c r="D21" s="554"/>
    </row>
    <row r="22" spans="1:4" ht="15.75" customHeight="1" thickBot="1">
      <c r="A22" s="555" t="s">
        <v>740</v>
      </c>
      <c r="B22" s="556" t="s">
        <v>19</v>
      </c>
      <c r="C22" s="742"/>
      <c r="D22" s="557">
        <f>+D23+D24+D25</f>
        <v>0</v>
      </c>
    </row>
    <row r="23" spans="1:4" ht="15.75" customHeight="1">
      <c r="A23" s="558" t="s">
        <v>741</v>
      </c>
      <c r="B23" s="545" t="s">
        <v>20</v>
      </c>
      <c r="C23" s="546"/>
      <c r="D23" s="547"/>
    </row>
    <row r="24" spans="1:4" ht="15.75" customHeight="1">
      <c r="A24" s="544" t="s">
        <v>742</v>
      </c>
      <c r="B24" s="548" t="s">
        <v>21</v>
      </c>
      <c r="C24" s="549"/>
      <c r="D24" s="550"/>
    </row>
    <row r="25" spans="1:4" ht="15.75" customHeight="1">
      <c r="A25" s="544" t="s">
        <v>743</v>
      </c>
      <c r="B25" s="548" t="s">
        <v>22</v>
      </c>
      <c r="C25" s="549"/>
      <c r="D25" s="550"/>
    </row>
    <row r="26" spans="1:4" ht="15.75" customHeight="1">
      <c r="A26" s="544" t="s">
        <v>744</v>
      </c>
      <c r="B26" s="548" t="s">
        <v>23</v>
      </c>
      <c r="C26" s="549"/>
      <c r="D26" s="550"/>
    </row>
    <row r="27" spans="1:4" ht="15.75" customHeight="1">
      <c r="A27" s="544"/>
      <c r="B27" s="548" t="s">
        <v>24</v>
      </c>
      <c r="C27" s="549"/>
      <c r="D27" s="550"/>
    </row>
    <row r="28" spans="1:4" ht="15.75" customHeight="1">
      <c r="A28" s="544"/>
      <c r="B28" s="548" t="s">
        <v>25</v>
      </c>
      <c r="C28" s="549"/>
      <c r="D28" s="550"/>
    </row>
    <row r="29" spans="1:4" ht="15.75" customHeight="1">
      <c r="A29" s="544"/>
      <c r="B29" s="548" t="s">
        <v>26</v>
      </c>
      <c r="C29" s="549"/>
      <c r="D29" s="550"/>
    </row>
    <row r="30" spans="1:4" ht="15.75" customHeight="1">
      <c r="A30" s="544"/>
      <c r="B30" s="548" t="s">
        <v>27</v>
      </c>
      <c r="C30" s="549"/>
      <c r="D30" s="550"/>
    </row>
    <row r="31" spans="1:4" ht="15.75" customHeight="1">
      <c r="A31" s="544"/>
      <c r="B31" s="548" t="s">
        <v>28</v>
      </c>
      <c r="C31" s="549"/>
      <c r="D31" s="550"/>
    </row>
    <row r="32" spans="1:4" ht="15.75" customHeight="1">
      <c r="A32" s="544"/>
      <c r="B32" s="548" t="s">
        <v>29</v>
      </c>
      <c r="C32" s="549"/>
      <c r="D32" s="550"/>
    </row>
    <row r="33" spans="1:4" ht="15.75" customHeight="1">
      <c r="A33" s="544"/>
      <c r="B33" s="548" t="s">
        <v>30</v>
      </c>
      <c r="C33" s="549"/>
      <c r="D33" s="550"/>
    </row>
    <row r="34" spans="1:4" ht="15.75" customHeight="1">
      <c r="A34" s="544"/>
      <c r="B34" s="548" t="s">
        <v>31</v>
      </c>
      <c r="C34" s="549"/>
      <c r="D34" s="550"/>
    </row>
    <row r="35" spans="1:4" ht="15.75" customHeight="1">
      <c r="A35" s="544"/>
      <c r="B35" s="548" t="s">
        <v>32</v>
      </c>
      <c r="C35" s="549"/>
      <c r="D35" s="550"/>
    </row>
    <row r="36" spans="1:4" ht="15.75" customHeight="1">
      <c r="A36" s="544"/>
      <c r="B36" s="548" t="s">
        <v>33</v>
      </c>
      <c r="C36" s="549"/>
      <c r="D36" s="550"/>
    </row>
    <row r="37" spans="1:4" ht="15.75" customHeight="1">
      <c r="A37" s="544"/>
      <c r="B37" s="548" t="s">
        <v>598</v>
      </c>
      <c r="C37" s="549"/>
      <c r="D37" s="550"/>
    </row>
    <row r="38" spans="1:4" ht="15.75" customHeight="1">
      <c r="A38" s="544"/>
      <c r="B38" s="548" t="s">
        <v>599</v>
      </c>
      <c r="C38" s="549"/>
      <c r="D38" s="550"/>
    </row>
    <row r="39" spans="1:4" ht="15.75" customHeight="1">
      <c r="A39" s="544"/>
      <c r="B39" s="548" t="s">
        <v>600</v>
      </c>
      <c r="C39" s="549"/>
      <c r="D39" s="550"/>
    </row>
    <row r="40" spans="1:4" ht="15.75" customHeight="1">
      <c r="A40" s="544"/>
      <c r="B40" s="548" t="s">
        <v>601</v>
      </c>
      <c r="C40" s="549"/>
      <c r="D40" s="550"/>
    </row>
    <row r="41" spans="1:4" ht="15.75" customHeight="1" thickBot="1">
      <c r="A41" s="551"/>
      <c r="B41" s="552" t="s">
        <v>602</v>
      </c>
      <c r="C41" s="553"/>
      <c r="D41" s="554"/>
    </row>
    <row r="42" spans="1:6" ht="15.75" customHeight="1" thickBot="1">
      <c r="A42" s="995" t="s">
        <v>745</v>
      </c>
      <c r="B42" s="996"/>
      <c r="C42" s="559"/>
      <c r="D42" s="557">
        <f>+D9+D10+D11+D12+D13+D18+D22+D26+D27+D28+D29+D30+D31+D32+D33+D34+D35+D36+D37+D38+D39+D40+D41</f>
        <v>111510906</v>
      </c>
      <c r="F42" s="560"/>
    </row>
    <row r="43" ht="15.75">
      <c r="A43" s="561" t="s">
        <v>746</v>
      </c>
    </row>
    <row r="44" spans="1:4" ht="15.75">
      <c r="A44" s="562"/>
      <c r="B44" s="562"/>
      <c r="C44" s="997"/>
      <c r="D44" s="997"/>
    </row>
    <row r="45" spans="1:2" ht="15.75">
      <c r="A45" s="563"/>
      <c r="B45" s="563"/>
    </row>
    <row r="46" spans="1:3" ht="15.75">
      <c r="A46" s="563"/>
      <c r="B46" s="563"/>
      <c r="C46" s="563"/>
    </row>
  </sheetData>
  <sheetProtection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zoomScalePageLayoutView="0" workbookViewId="0" topLeftCell="A1">
      <selection activeCell="F24" sqref="F24"/>
    </sheetView>
  </sheetViews>
  <sheetFormatPr defaultColWidth="9.00390625" defaultRowHeight="12.75"/>
  <cols>
    <col min="1" max="1" width="9.375" style="79" customWidth="1"/>
    <col min="2" max="2" width="51.875" style="79" customWidth="1"/>
    <col min="3" max="3" width="25.00390625" style="79" customWidth="1"/>
    <col min="4" max="4" width="22.875" style="79" customWidth="1"/>
    <col min="5" max="5" width="25.00390625" style="79" customWidth="1"/>
    <col min="6" max="6" width="5.50390625" style="79" customWidth="1"/>
    <col min="7" max="16384" width="9.375" style="79" customWidth="1"/>
  </cols>
  <sheetData>
    <row r="1" spans="1:5" ht="12.75">
      <c r="A1" s="639"/>
      <c r="B1" s="639"/>
      <c r="C1" s="639"/>
      <c r="D1" s="639"/>
      <c r="E1" s="639"/>
    </row>
    <row r="2" spans="1:5" ht="15.75">
      <c r="A2" s="802" t="str">
        <f>CONCATENATE(PROPER(Z_ALAPADATOK!A3)," tulajdonában álló gazdálkodó szervezetek működéséből származó")</f>
        <v>Bekecs Község Önkormányzata tulajdonában álló gazdálkodó szervezetek működéséből származó</v>
      </c>
      <c r="B2" s="802"/>
      <c r="C2" s="802"/>
      <c r="D2" s="802"/>
      <c r="E2" s="802"/>
    </row>
    <row r="3" spans="1:6" ht="15.75">
      <c r="A3" s="1003" t="str">
        <f>CONCATENATE("kötelezettségek és részesedések alakulása ",Z_ALAPADATOK!B1,". évben")</f>
        <v>kötelezettségek és részesedések alakulása 2020. évben</v>
      </c>
      <c r="B3" s="802"/>
      <c r="C3" s="802"/>
      <c r="D3" s="802"/>
      <c r="E3" s="802"/>
      <c r="F3" s="1000" t="s">
        <v>979</v>
      </c>
    </row>
    <row r="4" spans="1:6" ht="16.5" thickBot="1">
      <c r="A4" s="640"/>
      <c r="B4" s="639"/>
      <c r="C4" s="639"/>
      <c r="D4" s="639"/>
      <c r="E4" s="639"/>
      <c r="F4" s="1000"/>
    </row>
    <row r="5" spans="1:6" ht="79.5" thickBot="1">
      <c r="A5" s="641" t="s">
        <v>604</v>
      </c>
      <c r="B5" s="642" t="s">
        <v>747</v>
      </c>
      <c r="C5" s="642" t="s">
        <v>748</v>
      </c>
      <c r="D5" s="642" t="s">
        <v>749</v>
      </c>
      <c r="E5" s="643" t="s">
        <v>750</v>
      </c>
      <c r="F5" s="1000"/>
    </row>
    <row r="6" spans="1:6" ht="31.5">
      <c r="A6" s="636" t="s">
        <v>6</v>
      </c>
      <c r="B6" s="566" t="s">
        <v>960</v>
      </c>
      <c r="C6" s="567"/>
      <c r="D6" s="568">
        <v>780000</v>
      </c>
      <c r="E6" s="569"/>
      <c r="F6" s="1000"/>
    </row>
    <row r="7" spans="1:6" ht="15.75">
      <c r="A7" s="637" t="s">
        <v>7</v>
      </c>
      <c r="B7" s="570" t="s">
        <v>961</v>
      </c>
      <c r="C7" s="571"/>
      <c r="D7" s="572">
        <v>6984832</v>
      </c>
      <c r="E7" s="573"/>
      <c r="F7" s="1000"/>
    </row>
    <row r="8" spans="1:6" ht="15.75">
      <c r="A8" s="637" t="s">
        <v>8</v>
      </c>
      <c r="B8" s="570" t="s">
        <v>962</v>
      </c>
      <c r="C8" s="571"/>
      <c r="D8" s="572">
        <v>13715000</v>
      </c>
      <c r="E8" s="573"/>
      <c r="F8" s="1000"/>
    </row>
    <row r="9" spans="1:6" ht="31.5">
      <c r="A9" s="637" t="s">
        <v>9</v>
      </c>
      <c r="B9" s="570" t="s">
        <v>963</v>
      </c>
      <c r="C9" s="571"/>
      <c r="D9" s="572">
        <v>100000</v>
      </c>
      <c r="E9" s="573"/>
      <c r="F9" s="1000"/>
    </row>
    <row r="10" spans="1:6" ht="15.75">
      <c r="A10" s="637" t="s">
        <v>10</v>
      </c>
      <c r="B10" s="570"/>
      <c r="C10" s="571"/>
      <c r="D10" s="572"/>
      <c r="E10" s="573"/>
      <c r="F10" s="1000"/>
    </row>
    <row r="11" spans="1:6" ht="15.75">
      <c r="A11" s="637" t="s">
        <v>11</v>
      </c>
      <c r="B11" s="570"/>
      <c r="C11" s="571"/>
      <c r="D11" s="572"/>
      <c r="E11" s="573"/>
      <c r="F11" s="1000"/>
    </row>
    <row r="12" spans="1:6" ht="15.75">
      <c r="A12" s="637" t="s">
        <v>12</v>
      </c>
      <c r="B12" s="570"/>
      <c r="C12" s="571"/>
      <c r="D12" s="572"/>
      <c r="E12" s="573"/>
      <c r="F12" s="1000"/>
    </row>
    <row r="13" spans="1:6" ht="15.75">
      <c r="A13" s="637" t="s">
        <v>13</v>
      </c>
      <c r="B13" s="570"/>
      <c r="C13" s="571"/>
      <c r="D13" s="572"/>
      <c r="E13" s="573"/>
      <c r="F13" s="1000"/>
    </row>
    <row r="14" spans="1:6" ht="15.75">
      <c r="A14" s="637" t="s">
        <v>14</v>
      </c>
      <c r="B14" s="570"/>
      <c r="C14" s="571"/>
      <c r="D14" s="572"/>
      <c r="E14" s="573"/>
      <c r="F14" s="1000"/>
    </row>
    <row r="15" spans="1:6" ht="15.75">
      <c r="A15" s="637" t="s">
        <v>15</v>
      </c>
      <c r="B15" s="570"/>
      <c r="C15" s="571"/>
      <c r="D15" s="572"/>
      <c r="E15" s="573"/>
      <c r="F15" s="1000"/>
    </row>
    <row r="16" spans="1:6" ht="15.75">
      <c r="A16" s="637" t="s">
        <v>16</v>
      </c>
      <c r="B16" s="570"/>
      <c r="C16" s="571"/>
      <c r="D16" s="572"/>
      <c r="E16" s="573"/>
      <c r="F16" s="1000"/>
    </row>
    <row r="17" spans="1:6" ht="15.75">
      <c r="A17" s="637" t="s">
        <v>17</v>
      </c>
      <c r="B17" s="570"/>
      <c r="C17" s="571"/>
      <c r="D17" s="572"/>
      <c r="E17" s="573"/>
      <c r="F17" s="1000"/>
    </row>
    <row r="18" spans="1:6" ht="15.75">
      <c r="A18" s="637" t="s">
        <v>18</v>
      </c>
      <c r="B18" s="570"/>
      <c r="C18" s="571"/>
      <c r="D18" s="572"/>
      <c r="E18" s="573"/>
      <c r="F18" s="1000"/>
    </row>
    <row r="19" spans="1:6" ht="15.75">
      <c r="A19" s="637" t="s">
        <v>19</v>
      </c>
      <c r="B19" s="570"/>
      <c r="C19" s="571"/>
      <c r="D19" s="572"/>
      <c r="E19" s="573"/>
      <c r="F19" s="1000"/>
    </row>
    <row r="20" spans="1:6" ht="15.75">
      <c r="A20" s="637" t="s">
        <v>20</v>
      </c>
      <c r="B20" s="570"/>
      <c r="C20" s="571"/>
      <c r="D20" s="572"/>
      <c r="E20" s="573"/>
      <c r="F20" s="1000"/>
    </row>
    <row r="21" spans="1:6" ht="15.75">
      <c r="A21" s="637" t="s">
        <v>21</v>
      </c>
      <c r="B21" s="570"/>
      <c r="C21" s="571"/>
      <c r="D21" s="572"/>
      <c r="E21" s="573"/>
      <c r="F21" s="1000"/>
    </row>
    <row r="22" spans="1:6" ht="16.5" thickBot="1">
      <c r="A22" s="638" t="s">
        <v>22</v>
      </c>
      <c r="B22" s="574"/>
      <c r="C22" s="575"/>
      <c r="D22" s="576"/>
      <c r="E22" s="577"/>
      <c r="F22" s="1000"/>
    </row>
    <row r="23" spans="1:6" ht="16.5" thickBot="1">
      <c r="A23" s="1001" t="s">
        <v>751</v>
      </c>
      <c r="B23" s="1002"/>
      <c r="C23" s="578"/>
      <c r="D23" s="579">
        <f>IF(SUM(D6:D22)=0,"",SUM(D6:D22))</f>
        <v>21579832</v>
      </c>
      <c r="E23" s="580">
        <f>IF(SUM(E6:E22)=0,"",SUM(E6:E22))</f>
      </c>
      <c r="F23" s="1000"/>
    </row>
    <row r="24" ht="15.75">
      <c r="A24" s="565"/>
    </row>
  </sheetData>
  <sheetProtection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1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1" spans="1:3" ht="15">
      <c r="A1" s="959" t="str">
        <f>CONCATENATE("34. melléklet  ",Z_ALAPADATOK!A7," ",Z_ALAPADATOK!B7," ",Z_ALAPADATOK!C7," ",Z_ALAPADATOK!D7," ",Z_ALAPADATOK!E7," ",Z_ALAPADATOK!F7," ",Z_ALAPADATOK!G7," ",Z_ALAPADATOK!H7)</f>
        <v>34. melléklet  a 8 / 2021. ( V.25 ) önkormányzati rendelethez</v>
      </c>
      <c r="B1" s="1005"/>
      <c r="C1" s="1005"/>
    </row>
    <row r="2" spans="1:3" ht="14.25">
      <c r="A2" s="581"/>
      <c r="B2" s="581"/>
      <c r="C2" s="581"/>
    </row>
    <row r="3" spans="1:3" ht="33.75" customHeight="1">
      <c r="A3" s="1004" t="s">
        <v>752</v>
      </c>
      <c r="B3" s="1004"/>
      <c r="C3" s="1004"/>
    </row>
    <row r="4" spans="2:3" ht="13.5" thickBot="1">
      <c r="B4" s="796" t="s">
        <v>912</v>
      </c>
      <c r="C4" s="582"/>
    </row>
    <row r="5" spans="1:3" s="586" customFormat="1" ht="43.5" customHeight="1" thickBot="1">
      <c r="A5" s="583" t="s">
        <v>4</v>
      </c>
      <c r="B5" s="584" t="s">
        <v>44</v>
      </c>
      <c r="C5" s="585" t="s">
        <v>753</v>
      </c>
    </row>
    <row r="6" spans="1:3" ht="28.5" customHeight="1">
      <c r="A6" s="587" t="s">
        <v>6</v>
      </c>
      <c r="B6" s="588" t="str">
        <f>CONCATENATE("Pénzkészlet ",Z_ALAPADATOK!B1,". január 1-jén
Ebből:")</f>
        <v>Pénzkészlet 2020. január 1-jén
Ebből:</v>
      </c>
      <c r="C6" s="691">
        <v>203867391</v>
      </c>
    </row>
    <row r="7" spans="1:3" ht="18" customHeight="1">
      <c r="A7" s="589" t="s">
        <v>7</v>
      </c>
      <c r="B7" s="590" t="s">
        <v>754</v>
      </c>
      <c r="C7" s="644">
        <v>203867391</v>
      </c>
    </row>
    <row r="8" spans="1:3" ht="18" customHeight="1">
      <c r="A8" s="589" t="s">
        <v>8</v>
      </c>
      <c r="B8" s="590" t="s">
        <v>755</v>
      </c>
      <c r="C8" s="644"/>
    </row>
    <row r="9" spans="1:3" ht="18" customHeight="1">
      <c r="A9" s="589" t="s">
        <v>9</v>
      </c>
      <c r="B9" s="591" t="s">
        <v>756</v>
      </c>
      <c r="C9" s="644">
        <v>433346192</v>
      </c>
    </row>
    <row r="10" spans="1:3" ht="18" customHeight="1">
      <c r="A10" s="592" t="s">
        <v>10</v>
      </c>
      <c r="B10" s="593" t="s">
        <v>757</v>
      </c>
      <c r="C10" s="645">
        <v>447895895</v>
      </c>
    </row>
    <row r="11" spans="1:3" ht="18" customHeight="1" thickBot="1">
      <c r="A11" s="594" t="s">
        <v>11</v>
      </c>
      <c r="B11" s="595" t="s">
        <v>758</v>
      </c>
      <c r="C11" s="646">
        <v>222790</v>
      </c>
    </row>
    <row r="12" spans="1:3" ht="25.5" customHeight="1">
      <c r="A12" s="596" t="s">
        <v>12</v>
      </c>
      <c r="B12" s="597" t="str">
        <f>CONCATENATE("Pénzkészlet ",Z_ALAPADATOK!B1,". december 31-én
Ebből:")</f>
        <v>Pénzkészlet 2020. december 31-én
Ebből:</v>
      </c>
      <c r="C12" s="647">
        <f>C6+C9-C10+C11</f>
        <v>189540478</v>
      </c>
    </row>
    <row r="13" spans="1:3" ht="18" customHeight="1">
      <c r="A13" s="589" t="s">
        <v>13</v>
      </c>
      <c r="B13" s="590" t="s">
        <v>754</v>
      </c>
      <c r="C13" s="644">
        <v>189351258</v>
      </c>
    </row>
    <row r="14" spans="1:3" ht="18" customHeight="1" thickBot="1">
      <c r="A14" s="594" t="s">
        <v>14</v>
      </c>
      <c r="B14" s="598" t="s">
        <v>755</v>
      </c>
      <c r="C14" s="646">
        <v>189220</v>
      </c>
    </row>
    <row r="16" spans="1:3" ht="15.75">
      <c r="A16" s="1004" t="s">
        <v>752</v>
      </c>
      <c r="B16" s="1004"/>
      <c r="C16" s="1004"/>
    </row>
    <row r="17" spans="2:3" ht="13.5" thickBot="1">
      <c r="B17" s="31" t="s">
        <v>964</v>
      </c>
      <c r="C17" s="582"/>
    </row>
    <row r="18" spans="1:3" ht="26.25" thickBot="1">
      <c r="A18" s="583" t="s">
        <v>4</v>
      </c>
      <c r="B18" s="584" t="s">
        <v>44</v>
      </c>
      <c r="C18" s="585" t="s">
        <v>753</v>
      </c>
    </row>
    <row r="19" spans="1:3" ht="25.5">
      <c r="A19" s="587" t="s">
        <v>6</v>
      </c>
      <c r="B19" s="588" t="str">
        <f>CONCATENATE("Pénzkészlet ",Z_ALAPADATOK!B15,". január 1-jén
Ebből:")</f>
        <v>Pénzkészlet 2 kvi név. január 1-jén
Ebből:</v>
      </c>
      <c r="C19" s="691"/>
    </row>
    <row r="20" spans="1:3" ht="12.75">
      <c r="A20" s="589" t="s">
        <v>7</v>
      </c>
      <c r="B20" s="590" t="s">
        <v>754</v>
      </c>
      <c r="C20" s="644">
        <v>13008849</v>
      </c>
    </row>
    <row r="21" spans="1:3" ht="12.75">
      <c r="A21" s="589" t="s">
        <v>8</v>
      </c>
      <c r="B21" s="590" t="s">
        <v>755</v>
      </c>
      <c r="C21" s="644"/>
    </row>
    <row r="22" spans="1:3" ht="12.75">
      <c r="A22" s="589" t="s">
        <v>9</v>
      </c>
      <c r="B22" s="591" t="s">
        <v>756</v>
      </c>
      <c r="C22" s="644">
        <v>139268359</v>
      </c>
    </row>
    <row r="23" spans="1:3" ht="12.75">
      <c r="A23" s="592" t="s">
        <v>10</v>
      </c>
      <c r="B23" s="593" t="s">
        <v>757</v>
      </c>
      <c r="C23" s="645">
        <v>145344633</v>
      </c>
    </row>
    <row r="24" spans="1:3" ht="13.5" thickBot="1">
      <c r="A24" s="594" t="s">
        <v>11</v>
      </c>
      <c r="B24" s="595" t="s">
        <v>758</v>
      </c>
      <c r="C24" s="646">
        <v>-2728</v>
      </c>
    </row>
    <row r="25" spans="1:3" ht="25.5">
      <c r="A25" s="596" t="s">
        <v>12</v>
      </c>
      <c r="B25" s="597" t="str">
        <f>CONCATENATE("Pénzkészlet ",Z_ALAPADATOK!B15,". december 31-én
Ebből:")</f>
        <v>Pénzkészlet 2 kvi név. december 31-én
Ebből:</v>
      </c>
      <c r="C25" s="647">
        <f>C20+C22-C23+C24</f>
        <v>6929847</v>
      </c>
    </row>
    <row r="26" spans="1:3" ht="12.75">
      <c r="A26" s="589" t="s">
        <v>13</v>
      </c>
      <c r="B26" s="590" t="s">
        <v>754</v>
      </c>
      <c r="C26" s="644">
        <v>6674092</v>
      </c>
    </row>
    <row r="27" spans="1:3" ht="13.5" thickBot="1">
      <c r="A27" s="594" t="s">
        <v>14</v>
      </c>
      <c r="B27" s="598" t="s">
        <v>755</v>
      </c>
      <c r="C27" s="646">
        <v>255755</v>
      </c>
    </row>
    <row r="30" spans="1:3" ht="15.75">
      <c r="A30" s="1004" t="s">
        <v>752</v>
      </c>
      <c r="B30" s="1004"/>
      <c r="C30" s="1004"/>
    </row>
    <row r="31" spans="2:3" ht="13.5" thickBot="1">
      <c r="B31" s="31" t="s">
        <v>913</v>
      </c>
      <c r="C31" s="582"/>
    </row>
    <row r="32" spans="1:3" ht="26.25" thickBot="1">
      <c r="A32" s="583" t="s">
        <v>4</v>
      </c>
      <c r="B32" s="584" t="s">
        <v>44</v>
      </c>
      <c r="C32" s="585" t="s">
        <v>753</v>
      </c>
    </row>
    <row r="33" spans="1:3" ht="25.5">
      <c r="A33" s="587" t="s">
        <v>6</v>
      </c>
      <c r="B33" s="588" t="str">
        <f>CONCATENATE("Pénzkészlet ",Z_ALAPADATOK!B29,". január 1-jén
Ebből:")</f>
        <v>Pénzkészlet 9 kvi név. január 1-jén
Ebből:</v>
      </c>
      <c r="C33" s="691"/>
    </row>
    <row r="34" spans="1:3" ht="12.75">
      <c r="A34" s="589" t="s">
        <v>7</v>
      </c>
      <c r="B34" s="590" t="s">
        <v>754</v>
      </c>
      <c r="C34" s="644">
        <v>4770123</v>
      </c>
    </row>
    <row r="35" spans="1:3" ht="12.75">
      <c r="A35" s="589" t="s">
        <v>8</v>
      </c>
      <c r="B35" s="590" t="s">
        <v>755</v>
      </c>
      <c r="C35" s="644"/>
    </row>
    <row r="36" spans="1:3" ht="12.75">
      <c r="A36" s="589" t="s">
        <v>9</v>
      </c>
      <c r="B36" s="591" t="s">
        <v>756</v>
      </c>
      <c r="C36" s="644">
        <v>65619776</v>
      </c>
    </row>
    <row r="37" spans="1:3" ht="12.75">
      <c r="A37" s="592" t="s">
        <v>10</v>
      </c>
      <c r="B37" s="593" t="s">
        <v>757</v>
      </c>
      <c r="C37" s="645">
        <v>68901381</v>
      </c>
    </row>
    <row r="38" spans="1:3" ht="13.5" thickBot="1">
      <c r="A38" s="594" t="s">
        <v>11</v>
      </c>
      <c r="B38" s="595" t="s">
        <v>758</v>
      </c>
      <c r="C38" s="646">
        <v>-27178</v>
      </c>
    </row>
    <row r="39" spans="1:3" ht="25.5">
      <c r="A39" s="596" t="s">
        <v>12</v>
      </c>
      <c r="B39" s="597" t="str">
        <f>CONCATENATE("Pénzkészlet ",Z_ALAPADATOK!B29,". december 31-én
Ebből:")</f>
        <v>Pénzkészlet 9 kvi név. december 31-én
Ebből:</v>
      </c>
      <c r="C39" s="647">
        <f>C34+C36-C37+C38</f>
        <v>1461340</v>
      </c>
    </row>
    <row r="40" spans="1:3" ht="12.75">
      <c r="A40" s="589" t="s">
        <v>13</v>
      </c>
      <c r="B40" s="590" t="s">
        <v>754</v>
      </c>
      <c r="C40" s="644">
        <v>1371195</v>
      </c>
    </row>
    <row r="41" spans="1:3" ht="13.5" thickBot="1">
      <c r="A41" s="594" t="s">
        <v>14</v>
      </c>
      <c r="B41" s="598" t="s">
        <v>755</v>
      </c>
      <c r="C41" s="646">
        <v>90145</v>
      </c>
    </row>
  </sheetData>
  <sheetProtection/>
  <mergeCells count="4">
    <mergeCell ref="A3:C3"/>
    <mergeCell ref="A1:C1"/>
    <mergeCell ref="A16:C16"/>
    <mergeCell ref="A30:C3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52">
      <selection activeCell="G14" sqref="G14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6" width="9.375" style="176" customWidth="1"/>
    <col min="7" max="7" width="15.625" style="176" bestFit="1" customWidth="1"/>
    <col min="8" max="16384" width="9.375" style="176" customWidth="1"/>
  </cols>
  <sheetData>
    <row r="1" spans="1:5" ht="15.75">
      <c r="A1" s="314"/>
      <c r="B1" s="814" t="str">
        <f>CONCATENATE("1. melléklet ",Z_ALAPADATOK!A7," ",Z_ALAPADATOK!B7," ",Z_ALAPADATOK!C7," ",Z_ALAPADATOK!D7," ",Z_ALAPADATOK!E7," ",Z_ALAPADATOK!F7," ",Z_ALAPADATOK!G7," ",Z_ALAPADATOK!H7)</f>
        <v>1. melléklet a 8 / 2021. ( V.25 ) önkormányzati rendelethez</v>
      </c>
      <c r="C1" s="815"/>
      <c r="D1" s="815"/>
      <c r="E1" s="815"/>
    </row>
    <row r="2" spans="1:5" ht="15.75">
      <c r="A2" s="816" t="str">
        <f>CONCATENATE(Z_ALAPADATOK!A3)</f>
        <v>BEKECS KÖZSÉG Önkormányzata</v>
      </c>
      <c r="B2" s="817"/>
      <c r="C2" s="817"/>
      <c r="D2" s="817"/>
      <c r="E2" s="817"/>
    </row>
    <row r="3" spans="1:5" ht="15.75">
      <c r="A3" s="816" t="str">
        <f>CONCATENATE(Z_ALAPADATOK!B1,". évi ZÁRSZÁMADÁSÁNAK PÉNZÜGYI MÉRLEGE")</f>
        <v>2020. évi ZÁRSZÁMADÁSÁNAK PÉNZÜGYI MÉRLEGE</v>
      </c>
      <c r="B3" s="816"/>
      <c r="C3" s="818"/>
      <c r="D3" s="816"/>
      <c r="E3" s="816"/>
    </row>
    <row r="4" spans="1:5" ht="12" customHeight="1">
      <c r="A4" s="816"/>
      <c r="B4" s="816"/>
      <c r="C4" s="818"/>
      <c r="D4" s="816"/>
      <c r="E4" s="816"/>
    </row>
    <row r="5" spans="1:5" ht="15.75">
      <c r="A5" s="314"/>
      <c r="B5" s="314"/>
      <c r="C5" s="315"/>
      <c r="D5" s="316"/>
      <c r="E5" s="316"/>
    </row>
    <row r="6" spans="1:5" ht="15.75" customHeight="1">
      <c r="A6" s="810" t="s">
        <v>3</v>
      </c>
      <c r="B6" s="810"/>
      <c r="C6" s="810"/>
      <c r="D6" s="810"/>
      <c r="E6" s="810"/>
    </row>
    <row r="7" spans="1:5" ht="15.75" customHeight="1" thickBot="1">
      <c r="A7" s="812" t="s">
        <v>100</v>
      </c>
      <c r="B7" s="812"/>
      <c r="C7" s="317"/>
      <c r="D7" s="316"/>
      <c r="E7" s="317" t="s">
        <v>488</v>
      </c>
    </row>
    <row r="8" spans="1:5" ht="15.75">
      <c r="A8" s="820" t="s">
        <v>51</v>
      </c>
      <c r="B8" s="822" t="s">
        <v>5</v>
      </c>
      <c r="C8" s="806" t="str">
        <f>+CONCATENATE(LEFT(Z_ÖSSZEFÜGGÉSEK!A6,4),". évi")</f>
        <v>2020. évi</v>
      </c>
      <c r="D8" s="807"/>
      <c r="E8" s="808"/>
    </row>
    <row r="9" spans="1:5" ht="24.75" thickBot="1">
      <c r="A9" s="821"/>
      <c r="B9" s="823"/>
      <c r="C9" s="247" t="s">
        <v>419</v>
      </c>
      <c r="D9" s="246" t="s">
        <v>420</v>
      </c>
      <c r="E9" s="307" t="str">
        <f>+CONCATENATE(LEFT(Z_ÖSSZEFÜGGÉSEK!A6,4),". XII. 31.",CHAR(10),"teljesítés")</f>
        <v>2020. XII. 31.
teljesítés</v>
      </c>
    </row>
    <row r="10" spans="1:5" s="177" customFormat="1" ht="12" customHeight="1" thickBot="1">
      <c r="A10" s="173" t="s">
        <v>386</v>
      </c>
      <c r="B10" s="174" t="s">
        <v>387</v>
      </c>
      <c r="C10" s="174" t="s">
        <v>388</v>
      </c>
      <c r="D10" s="174" t="s">
        <v>390</v>
      </c>
      <c r="E10" s="248" t="s">
        <v>389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192891415</v>
      </c>
      <c r="D11" s="166">
        <f>+D12+D13+D14+D15+D16+D17</f>
        <v>222651750</v>
      </c>
      <c r="E11" s="102">
        <f>+E12+E13+E14+E15+E16+E17</f>
        <v>222651750</v>
      </c>
    </row>
    <row r="12" spans="1:5" s="178" customFormat="1" ht="12" customHeight="1">
      <c r="A12" s="13" t="s">
        <v>63</v>
      </c>
      <c r="B12" s="179" t="s">
        <v>163</v>
      </c>
      <c r="C12" s="168">
        <v>69285800</v>
      </c>
      <c r="D12" s="168">
        <v>83332544</v>
      </c>
      <c r="E12" s="104">
        <v>83332544</v>
      </c>
    </row>
    <row r="13" spans="1:5" s="178" customFormat="1" ht="12" customHeight="1">
      <c r="A13" s="12" t="s">
        <v>64</v>
      </c>
      <c r="B13" s="180" t="s">
        <v>164</v>
      </c>
      <c r="C13" s="167">
        <v>70659100</v>
      </c>
      <c r="D13" s="167">
        <v>79185120</v>
      </c>
      <c r="E13" s="103">
        <v>79185120</v>
      </c>
    </row>
    <row r="14" spans="1:5" s="178" customFormat="1" ht="12" customHeight="1">
      <c r="A14" s="12" t="s">
        <v>65</v>
      </c>
      <c r="B14" s="180" t="s">
        <v>165</v>
      </c>
      <c r="C14" s="167">
        <v>49892824</v>
      </c>
      <c r="D14" s="167">
        <v>48973067</v>
      </c>
      <c r="E14" s="103">
        <v>48973067</v>
      </c>
    </row>
    <row r="15" spans="1:5" s="178" customFormat="1" ht="12" customHeight="1">
      <c r="A15" s="12" t="s">
        <v>66</v>
      </c>
      <c r="B15" s="180" t="s">
        <v>166</v>
      </c>
      <c r="C15" s="167">
        <v>3053691</v>
      </c>
      <c r="D15" s="167">
        <v>4397323</v>
      </c>
      <c r="E15" s="103">
        <v>4397323</v>
      </c>
    </row>
    <row r="16" spans="1:5" s="178" customFormat="1" ht="12" customHeight="1">
      <c r="A16" s="12" t="s">
        <v>97</v>
      </c>
      <c r="B16" s="110" t="s">
        <v>334</v>
      </c>
      <c r="C16" s="167"/>
      <c r="D16" s="167">
        <v>6663750</v>
      </c>
      <c r="E16" s="103">
        <v>6663750</v>
      </c>
    </row>
    <row r="17" spans="1:5" s="178" customFormat="1" ht="12" customHeight="1" thickBot="1">
      <c r="A17" s="14" t="s">
        <v>67</v>
      </c>
      <c r="B17" s="111" t="s">
        <v>335</v>
      </c>
      <c r="C17" s="167"/>
      <c r="D17" s="167">
        <v>99946</v>
      </c>
      <c r="E17" s="103">
        <v>99946</v>
      </c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96178089</v>
      </c>
      <c r="D18" s="166">
        <f>+D19+D20+D21+D22+D23</f>
        <v>86306364</v>
      </c>
      <c r="E18" s="102">
        <f>+E19+E20+E21+E22+E23</f>
        <v>88956024</v>
      </c>
    </row>
    <row r="19" spans="1:5" s="178" customFormat="1" ht="12" customHeight="1">
      <c r="A19" s="13" t="s">
        <v>69</v>
      </c>
      <c r="B19" s="179" t="s">
        <v>168</v>
      </c>
      <c r="C19" s="168"/>
      <c r="D19" s="168">
        <v>2202842</v>
      </c>
      <c r="E19" s="104"/>
    </row>
    <row r="20" spans="1:5" s="178" customFormat="1" ht="12" customHeight="1">
      <c r="A20" s="12" t="s">
        <v>70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71</v>
      </c>
      <c r="B21" s="180" t="s">
        <v>326</v>
      </c>
      <c r="C21" s="167"/>
      <c r="D21" s="167"/>
      <c r="E21" s="103"/>
    </row>
    <row r="22" spans="1:5" s="178" customFormat="1" ht="12" customHeight="1">
      <c r="A22" s="12" t="s">
        <v>72</v>
      </c>
      <c r="B22" s="180" t="s">
        <v>327</v>
      </c>
      <c r="C22" s="167"/>
      <c r="D22" s="167"/>
      <c r="E22" s="103"/>
    </row>
    <row r="23" spans="1:5" s="178" customFormat="1" ht="12" customHeight="1">
      <c r="A23" s="12" t="s">
        <v>73</v>
      </c>
      <c r="B23" s="180" t="s">
        <v>170</v>
      </c>
      <c r="C23" s="167">
        <v>96178089</v>
      </c>
      <c r="D23" s="167">
        <v>84103522</v>
      </c>
      <c r="E23" s="103">
        <v>88956024</v>
      </c>
    </row>
    <row r="24" spans="1:5" s="178" customFormat="1" ht="12" customHeight="1" thickBot="1">
      <c r="A24" s="14" t="s">
        <v>80</v>
      </c>
      <c r="B24" s="111" t="s">
        <v>171</v>
      </c>
      <c r="C24" s="169"/>
      <c r="D24" s="169"/>
      <c r="E24" s="105"/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4830488</v>
      </c>
      <c r="D25" s="166">
        <f>+D26+D27+D28+D29+D30</f>
        <v>22151088</v>
      </c>
      <c r="E25" s="102">
        <f>+E26+E27+E28+E29+E30</f>
        <v>44448258</v>
      </c>
    </row>
    <row r="26" spans="1:5" s="178" customFormat="1" ht="12" customHeight="1">
      <c r="A26" s="13" t="s">
        <v>52</v>
      </c>
      <c r="B26" s="179" t="s">
        <v>173</v>
      </c>
      <c r="C26" s="168"/>
      <c r="D26" s="168"/>
      <c r="E26" s="104"/>
    </row>
    <row r="27" spans="1:5" s="178" customFormat="1" ht="12" customHeight="1">
      <c r="A27" s="12" t="s">
        <v>53</v>
      </c>
      <c r="B27" s="180" t="s">
        <v>174</v>
      </c>
      <c r="C27" s="167"/>
      <c r="D27" s="167"/>
      <c r="E27" s="103"/>
    </row>
    <row r="28" spans="1:5" s="178" customFormat="1" ht="12" customHeight="1">
      <c r="A28" s="12" t="s">
        <v>54</v>
      </c>
      <c r="B28" s="180" t="s">
        <v>328</v>
      </c>
      <c r="C28" s="167"/>
      <c r="D28" s="167"/>
      <c r="E28" s="103"/>
    </row>
    <row r="29" spans="1:5" s="178" customFormat="1" ht="12" customHeight="1">
      <c r="A29" s="12" t="s">
        <v>55</v>
      </c>
      <c r="B29" s="180" t="s">
        <v>329</v>
      </c>
      <c r="C29" s="167"/>
      <c r="D29" s="167"/>
      <c r="E29" s="103"/>
    </row>
    <row r="30" spans="1:5" s="178" customFormat="1" ht="12" customHeight="1">
      <c r="A30" s="12" t="s">
        <v>110</v>
      </c>
      <c r="B30" s="180" t="s">
        <v>175</v>
      </c>
      <c r="C30" s="167">
        <v>4830488</v>
      </c>
      <c r="D30" s="167">
        <v>22151088</v>
      </c>
      <c r="E30" s="103">
        <v>44448258</v>
      </c>
    </row>
    <row r="31" spans="1:5" s="178" customFormat="1" ht="12" customHeight="1" thickBot="1">
      <c r="A31" s="14" t="s">
        <v>111</v>
      </c>
      <c r="B31" s="181" t="s">
        <v>176</v>
      </c>
      <c r="C31" s="169"/>
      <c r="D31" s="169"/>
      <c r="E31" s="105"/>
    </row>
    <row r="32" spans="1:5" s="178" customFormat="1" ht="12" customHeight="1" thickBot="1">
      <c r="A32" s="18" t="s">
        <v>112</v>
      </c>
      <c r="B32" s="19" t="s">
        <v>477</v>
      </c>
      <c r="C32" s="172">
        <f>SUM(C33:C39)</f>
        <v>68069393</v>
      </c>
      <c r="D32" s="172">
        <f>SUM(D33:D39)</f>
        <v>57069393</v>
      </c>
      <c r="E32" s="208">
        <f>SUM(E33:E39)</f>
        <v>58279048</v>
      </c>
    </row>
    <row r="33" spans="1:5" s="178" customFormat="1" ht="12" customHeight="1">
      <c r="A33" s="13" t="s">
        <v>177</v>
      </c>
      <c r="B33" s="743" t="s">
        <v>478</v>
      </c>
      <c r="C33" s="168"/>
      <c r="D33" s="168"/>
      <c r="E33" s="104"/>
    </row>
    <row r="34" spans="1:5" s="178" customFormat="1" ht="12" customHeight="1">
      <c r="A34" s="12" t="s">
        <v>178</v>
      </c>
      <c r="B34" s="744" t="s">
        <v>862</v>
      </c>
      <c r="C34" s="167"/>
      <c r="D34" s="167"/>
      <c r="E34" s="103"/>
    </row>
    <row r="35" spans="1:5" s="178" customFormat="1" ht="12" customHeight="1">
      <c r="A35" s="12" t="s">
        <v>179</v>
      </c>
      <c r="B35" s="744" t="s">
        <v>479</v>
      </c>
      <c r="C35" s="167">
        <v>55069393</v>
      </c>
      <c r="D35" s="167">
        <v>55069393</v>
      </c>
      <c r="E35" s="103">
        <v>57512908</v>
      </c>
    </row>
    <row r="36" spans="1:5" s="178" customFormat="1" ht="12" customHeight="1">
      <c r="A36" s="12" t="s">
        <v>180</v>
      </c>
      <c r="B36" s="744" t="s">
        <v>480</v>
      </c>
      <c r="C36" s="167">
        <v>2000000</v>
      </c>
      <c r="D36" s="167">
        <v>2000000</v>
      </c>
      <c r="E36" s="103">
        <v>742140</v>
      </c>
    </row>
    <row r="37" spans="1:5" s="178" customFormat="1" ht="12" customHeight="1">
      <c r="A37" s="12" t="s">
        <v>481</v>
      </c>
      <c r="B37" s="744" t="s">
        <v>181</v>
      </c>
      <c r="C37" s="167">
        <v>11000000</v>
      </c>
      <c r="D37" s="167"/>
      <c r="E37" s="103"/>
    </row>
    <row r="38" spans="1:5" s="178" customFormat="1" ht="12" customHeight="1">
      <c r="A38" s="12" t="s">
        <v>482</v>
      </c>
      <c r="B38" s="744" t="s">
        <v>846</v>
      </c>
      <c r="C38" s="167"/>
      <c r="D38" s="167"/>
      <c r="E38" s="103"/>
    </row>
    <row r="39" spans="1:5" s="178" customFormat="1" ht="12" customHeight="1" thickBot="1">
      <c r="A39" s="14" t="s">
        <v>483</v>
      </c>
      <c r="B39" s="745" t="s">
        <v>847</v>
      </c>
      <c r="C39" s="169"/>
      <c r="D39" s="169"/>
      <c r="E39" s="105">
        <v>24000</v>
      </c>
    </row>
    <row r="40" spans="1:5" s="178" customFormat="1" ht="12" customHeight="1" thickBot="1">
      <c r="A40" s="18" t="s">
        <v>10</v>
      </c>
      <c r="B40" s="19" t="s">
        <v>336</v>
      </c>
      <c r="C40" s="166">
        <f>SUM(C41:C51)</f>
        <v>26790000</v>
      </c>
      <c r="D40" s="166">
        <f>SUM(D41:D51)</f>
        <v>33256781</v>
      </c>
      <c r="E40" s="102">
        <f>SUM(E41:E51)</f>
        <v>23685219</v>
      </c>
    </row>
    <row r="41" spans="1:5" s="178" customFormat="1" ht="12" customHeight="1">
      <c r="A41" s="13" t="s">
        <v>56</v>
      </c>
      <c r="B41" s="179" t="s">
        <v>184</v>
      </c>
      <c r="C41" s="168"/>
      <c r="D41" s="168"/>
      <c r="E41" s="104"/>
    </row>
    <row r="42" spans="1:5" s="178" customFormat="1" ht="12" customHeight="1">
      <c r="A42" s="12" t="s">
        <v>57</v>
      </c>
      <c r="B42" s="180" t="s">
        <v>185</v>
      </c>
      <c r="C42" s="167">
        <v>11000000</v>
      </c>
      <c r="D42" s="167">
        <v>14000000</v>
      </c>
      <c r="E42" s="103">
        <v>10663141</v>
      </c>
    </row>
    <row r="43" spans="1:5" s="178" customFormat="1" ht="12" customHeight="1">
      <c r="A43" s="12" t="s">
        <v>58</v>
      </c>
      <c r="B43" s="180" t="s">
        <v>186</v>
      </c>
      <c r="C43" s="167">
        <v>3300000</v>
      </c>
      <c r="D43" s="167">
        <v>3300000</v>
      </c>
      <c r="E43" s="103">
        <v>840601</v>
      </c>
    </row>
    <row r="44" spans="1:5" s="178" customFormat="1" ht="12" customHeight="1">
      <c r="A44" s="12" t="s">
        <v>114</v>
      </c>
      <c r="B44" s="180" t="s">
        <v>187</v>
      </c>
      <c r="C44" s="167"/>
      <c r="D44" s="167"/>
      <c r="E44" s="103"/>
    </row>
    <row r="45" spans="1:5" s="178" customFormat="1" ht="12" customHeight="1">
      <c r="A45" s="12" t="s">
        <v>115</v>
      </c>
      <c r="B45" s="180" t="s">
        <v>188</v>
      </c>
      <c r="C45" s="167">
        <v>7000000</v>
      </c>
      <c r="D45" s="167">
        <v>9731102</v>
      </c>
      <c r="E45" s="103">
        <v>7617648</v>
      </c>
    </row>
    <row r="46" spans="1:5" s="178" customFormat="1" ht="12" customHeight="1">
      <c r="A46" s="12" t="s">
        <v>116</v>
      </c>
      <c r="B46" s="180" t="s">
        <v>189</v>
      </c>
      <c r="C46" s="167">
        <v>5240000</v>
      </c>
      <c r="D46" s="167">
        <v>5975679</v>
      </c>
      <c r="E46" s="103">
        <v>4378046</v>
      </c>
    </row>
    <row r="47" spans="1:5" s="178" customFormat="1" ht="12" customHeight="1">
      <c r="A47" s="12" t="s">
        <v>117</v>
      </c>
      <c r="B47" s="180" t="s">
        <v>190</v>
      </c>
      <c r="C47" s="167"/>
      <c r="D47" s="167"/>
      <c r="E47" s="103">
        <v>2</v>
      </c>
    </row>
    <row r="48" spans="1:5" s="178" customFormat="1" ht="12" customHeight="1">
      <c r="A48" s="12" t="s">
        <v>118</v>
      </c>
      <c r="B48" s="180" t="s">
        <v>484</v>
      </c>
      <c r="C48" s="167">
        <v>150000</v>
      </c>
      <c r="D48" s="167">
        <v>150000</v>
      </c>
      <c r="E48" s="103">
        <v>127302</v>
      </c>
    </row>
    <row r="49" spans="1:5" s="178" customFormat="1" ht="12" customHeight="1">
      <c r="A49" s="12" t="s">
        <v>182</v>
      </c>
      <c r="B49" s="180" t="s">
        <v>192</v>
      </c>
      <c r="C49" s="170"/>
      <c r="D49" s="170"/>
      <c r="E49" s="106"/>
    </row>
    <row r="50" spans="1:5" s="178" customFormat="1" ht="12" customHeight="1">
      <c r="A50" s="14" t="s">
        <v>183</v>
      </c>
      <c r="B50" s="181" t="s">
        <v>338</v>
      </c>
      <c r="C50" s="171"/>
      <c r="D50" s="171"/>
      <c r="E50" s="107"/>
    </row>
    <row r="51" spans="1:5" s="178" customFormat="1" ht="12" customHeight="1" thickBot="1">
      <c r="A51" s="14" t="s">
        <v>337</v>
      </c>
      <c r="B51" s="111" t="s">
        <v>193</v>
      </c>
      <c r="C51" s="171">
        <v>100000</v>
      </c>
      <c r="D51" s="171">
        <v>100000</v>
      </c>
      <c r="E51" s="107">
        <v>58479</v>
      </c>
    </row>
    <row r="52" spans="1:5" s="178" customFormat="1" ht="12" customHeight="1" thickBot="1">
      <c r="A52" s="18" t="s">
        <v>11</v>
      </c>
      <c r="B52" s="19" t="s">
        <v>194</v>
      </c>
      <c r="C52" s="166">
        <f>SUM(C53:C57)</f>
        <v>0</v>
      </c>
      <c r="D52" s="166">
        <f>SUM(D53:D57)</f>
        <v>6200000</v>
      </c>
      <c r="E52" s="102">
        <f>SUM(E53:E57)</f>
        <v>2266874</v>
      </c>
    </row>
    <row r="53" spans="1:5" s="178" customFormat="1" ht="12" customHeight="1">
      <c r="A53" s="13" t="s">
        <v>59</v>
      </c>
      <c r="B53" s="179" t="s">
        <v>198</v>
      </c>
      <c r="C53" s="219"/>
      <c r="D53" s="219">
        <v>6200000</v>
      </c>
      <c r="E53" s="108">
        <v>2266874</v>
      </c>
    </row>
    <row r="54" spans="1:5" s="178" customFormat="1" ht="12" customHeight="1">
      <c r="A54" s="12" t="s">
        <v>60</v>
      </c>
      <c r="B54" s="180" t="s">
        <v>199</v>
      </c>
      <c r="C54" s="170"/>
      <c r="D54" s="170"/>
      <c r="E54" s="106"/>
    </row>
    <row r="55" spans="1:5" s="178" customFormat="1" ht="12" customHeight="1">
      <c r="A55" s="12" t="s">
        <v>195</v>
      </c>
      <c r="B55" s="180" t="s">
        <v>200</v>
      </c>
      <c r="C55" s="170"/>
      <c r="D55" s="170"/>
      <c r="E55" s="106"/>
    </row>
    <row r="56" spans="1:5" s="178" customFormat="1" ht="12" customHeight="1">
      <c r="A56" s="12" t="s">
        <v>196</v>
      </c>
      <c r="B56" s="180" t="s">
        <v>201</v>
      </c>
      <c r="C56" s="170"/>
      <c r="D56" s="170"/>
      <c r="E56" s="106"/>
    </row>
    <row r="57" spans="1:5" s="178" customFormat="1" ht="12" customHeight="1" thickBot="1">
      <c r="A57" s="14" t="s">
        <v>197</v>
      </c>
      <c r="B57" s="111" t="s">
        <v>202</v>
      </c>
      <c r="C57" s="171"/>
      <c r="D57" s="171"/>
      <c r="E57" s="107"/>
    </row>
    <row r="58" spans="1:5" s="178" customFormat="1" ht="12" customHeight="1" thickBot="1">
      <c r="A58" s="18" t="s">
        <v>119</v>
      </c>
      <c r="B58" s="19" t="s">
        <v>203</v>
      </c>
      <c r="C58" s="166">
        <f>SUM(C59:C61)</f>
        <v>0</v>
      </c>
      <c r="D58" s="166">
        <f>SUM(D59:D61)</f>
        <v>0</v>
      </c>
      <c r="E58" s="102">
        <f>SUM(E59:E61)</f>
        <v>0</v>
      </c>
    </row>
    <row r="59" spans="1:5" s="178" customFormat="1" ht="12" customHeight="1">
      <c r="A59" s="13" t="s">
        <v>61</v>
      </c>
      <c r="B59" s="179" t="s">
        <v>204</v>
      </c>
      <c r="C59" s="168"/>
      <c r="D59" s="168"/>
      <c r="E59" s="104"/>
    </row>
    <row r="60" spans="1:5" s="178" customFormat="1" ht="12" customHeight="1">
      <c r="A60" s="12" t="s">
        <v>62</v>
      </c>
      <c r="B60" s="180" t="s">
        <v>330</v>
      </c>
      <c r="C60" s="167"/>
      <c r="D60" s="167"/>
      <c r="E60" s="103"/>
    </row>
    <row r="61" spans="1:5" s="178" customFormat="1" ht="12" customHeight="1">
      <c r="A61" s="12" t="s">
        <v>207</v>
      </c>
      <c r="B61" s="180" t="s">
        <v>205</v>
      </c>
      <c r="C61" s="167"/>
      <c r="D61" s="167"/>
      <c r="E61" s="103"/>
    </row>
    <row r="62" spans="1:5" s="178" customFormat="1" ht="12" customHeight="1" thickBot="1">
      <c r="A62" s="14" t="s">
        <v>208</v>
      </c>
      <c r="B62" s="111" t="s">
        <v>206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209</v>
      </c>
      <c r="C63" s="166">
        <f>SUM(C64:C66)</f>
        <v>2936000</v>
      </c>
      <c r="D63" s="166">
        <f>SUM(D64:D66)</f>
        <v>2936000</v>
      </c>
      <c r="E63" s="102">
        <f>SUM(E64:E66)</f>
        <v>0</v>
      </c>
    </row>
    <row r="64" spans="1:5" s="178" customFormat="1" ht="12" customHeight="1">
      <c r="A64" s="13" t="s">
        <v>120</v>
      </c>
      <c r="B64" s="179" t="s">
        <v>211</v>
      </c>
      <c r="C64" s="170"/>
      <c r="D64" s="170"/>
      <c r="E64" s="106"/>
    </row>
    <row r="65" spans="1:5" s="178" customFormat="1" ht="12" customHeight="1">
      <c r="A65" s="12" t="s">
        <v>121</v>
      </c>
      <c r="B65" s="180" t="s">
        <v>331</v>
      </c>
      <c r="C65" s="170"/>
      <c r="D65" s="170"/>
      <c r="E65" s="106"/>
    </row>
    <row r="66" spans="1:5" s="178" customFormat="1" ht="12" customHeight="1">
      <c r="A66" s="12" t="s">
        <v>144</v>
      </c>
      <c r="B66" s="180" t="s">
        <v>212</v>
      </c>
      <c r="C66" s="170">
        <v>2936000</v>
      </c>
      <c r="D66" s="170">
        <v>2936000</v>
      </c>
      <c r="E66" s="106"/>
    </row>
    <row r="67" spans="1:5" s="178" customFormat="1" ht="12" customHeight="1" thickBot="1">
      <c r="A67" s="14" t="s">
        <v>210</v>
      </c>
      <c r="B67" s="111" t="s">
        <v>213</v>
      </c>
      <c r="C67" s="170"/>
      <c r="D67" s="170"/>
      <c r="E67" s="106"/>
    </row>
    <row r="68" spans="1:5" s="178" customFormat="1" ht="12" customHeight="1" thickBot="1">
      <c r="A68" s="230" t="s">
        <v>378</v>
      </c>
      <c r="B68" s="19" t="s">
        <v>214</v>
      </c>
      <c r="C68" s="172">
        <f>+C11+C18+C25+C32+C40+C52+C58+C63</f>
        <v>391695385</v>
      </c>
      <c r="D68" s="172">
        <f>+D11+D18+D25+D32+D40+D52+D58+D63</f>
        <v>430571376</v>
      </c>
      <c r="E68" s="208">
        <f>+E11+E18+E25+E32+E40+E52+E58+E63</f>
        <v>440287173</v>
      </c>
    </row>
    <row r="69" spans="1:5" s="178" customFormat="1" ht="12" customHeight="1" thickBot="1">
      <c r="A69" s="220" t="s">
        <v>215</v>
      </c>
      <c r="B69" s="109" t="s">
        <v>216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244</v>
      </c>
      <c r="B70" s="179" t="s">
        <v>217</v>
      </c>
      <c r="C70" s="170"/>
      <c r="D70" s="170"/>
      <c r="E70" s="106"/>
    </row>
    <row r="71" spans="1:5" s="178" customFormat="1" ht="12" customHeight="1">
      <c r="A71" s="12" t="s">
        <v>253</v>
      </c>
      <c r="B71" s="180" t="s">
        <v>218</v>
      </c>
      <c r="C71" s="170"/>
      <c r="D71" s="170"/>
      <c r="E71" s="106"/>
    </row>
    <row r="72" spans="1:5" s="178" customFormat="1" ht="12" customHeight="1" thickBot="1">
      <c r="A72" s="14" t="s">
        <v>254</v>
      </c>
      <c r="B72" s="226" t="s">
        <v>363</v>
      </c>
      <c r="C72" s="170"/>
      <c r="D72" s="170"/>
      <c r="E72" s="106"/>
    </row>
    <row r="73" spans="1:5" s="178" customFormat="1" ht="12" customHeight="1" thickBot="1">
      <c r="A73" s="220" t="s">
        <v>220</v>
      </c>
      <c r="B73" s="109" t="s">
        <v>221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98</v>
      </c>
      <c r="B74" s="305" t="s">
        <v>222</v>
      </c>
      <c r="C74" s="170"/>
      <c r="D74" s="170"/>
      <c r="E74" s="106"/>
    </row>
    <row r="75" spans="1:5" s="178" customFormat="1" ht="12" customHeight="1">
      <c r="A75" s="12" t="s">
        <v>99</v>
      </c>
      <c r="B75" s="305" t="s">
        <v>491</v>
      </c>
      <c r="C75" s="170"/>
      <c r="D75" s="170"/>
      <c r="E75" s="106"/>
    </row>
    <row r="76" spans="1:5" s="178" customFormat="1" ht="12" customHeight="1">
      <c r="A76" s="12" t="s">
        <v>245</v>
      </c>
      <c r="B76" s="305" t="s">
        <v>223</v>
      </c>
      <c r="C76" s="170"/>
      <c r="D76" s="170"/>
      <c r="E76" s="106"/>
    </row>
    <row r="77" spans="1:5" s="178" customFormat="1" ht="12" customHeight="1" thickBot="1">
      <c r="A77" s="14" t="s">
        <v>246</v>
      </c>
      <c r="B77" s="306" t="s">
        <v>492</v>
      </c>
      <c r="C77" s="170"/>
      <c r="D77" s="170"/>
      <c r="E77" s="106"/>
    </row>
    <row r="78" spans="1:5" s="178" customFormat="1" ht="12" customHeight="1" thickBot="1">
      <c r="A78" s="220" t="s">
        <v>224</v>
      </c>
      <c r="B78" s="109" t="s">
        <v>225</v>
      </c>
      <c r="C78" s="166">
        <f>SUM(C79:C80)</f>
        <v>230959964</v>
      </c>
      <c r="D78" s="166">
        <f>SUM(D79:D80)</f>
        <v>222819433</v>
      </c>
      <c r="E78" s="102">
        <f>SUM(E79:E80)</f>
        <v>221081331</v>
      </c>
    </row>
    <row r="79" spans="1:5" s="178" customFormat="1" ht="12" customHeight="1">
      <c r="A79" s="13" t="s">
        <v>247</v>
      </c>
      <c r="B79" s="179" t="s">
        <v>226</v>
      </c>
      <c r="C79" s="170">
        <v>230959964</v>
      </c>
      <c r="D79" s="170">
        <v>222819433</v>
      </c>
      <c r="E79" s="106">
        <v>221081331</v>
      </c>
    </row>
    <row r="80" spans="1:5" s="178" customFormat="1" ht="12" customHeight="1" thickBot="1">
      <c r="A80" s="14" t="s">
        <v>248</v>
      </c>
      <c r="B80" s="111" t="s">
        <v>227</v>
      </c>
      <c r="C80" s="170"/>
      <c r="D80" s="170"/>
      <c r="E80" s="106"/>
    </row>
    <row r="81" spans="1:5" s="178" customFormat="1" ht="12" customHeight="1" thickBot="1">
      <c r="A81" s="220" t="s">
        <v>228</v>
      </c>
      <c r="B81" s="109" t="s">
        <v>229</v>
      </c>
      <c r="C81" s="166">
        <f>SUM(C82:C84)</f>
        <v>0</v>
      </c>
      <c r="D81" s="166">
        <f>SUM(D82:D84)</f>
        <v>0</v>
      </c>
      <c r="E81" s="102">
        <f>SUM(E82:E84)</f>
        <v>9042854</v>
      </c>
    </row>
    <row r="82" spans="1:5" s="178" customFormat="1" ht="12" customHeight="1">
      <c r="A82" s="13" t="s">
        <v>249</v>
      </c>
      <c r="B82" s="179" t="s">
        <v>230</v>
      </c>
      <c r="C82" s="170"/>
      <c r="D82" s="170"/>
      <c r="E82" s="106">
        <v>9042854</v>
      </c>
    </row>
    <row r="83" spans="1:5" s="178" customFormat="1" ht="12" customHeight="1">
      <c r="A83" s="12" t="s">
        <v>250</v>
      </c>
      <c r="B83" s="180" t="s">
        <v>231</v>
      </c>
      <c r="C83" s="170"/>
      <c r="D83" s="170"/>
      <c r="E83" s="106"/>
    </row>
    <row r="84" spans="1:5" s="178" customFormat="1" ht="12" customHeight="1" thickBot="1">
      <c r="A84" s="14" t="s">
        <v>251</v>
      </c>
      <c r="B84" s="111" t="s">
        <v>493</v>
      </c>
      <c r="C84" s="170"/>
      <c r="D84" s="170"/>
      <c r="E84" s="106"/>
    </row>
    <row r="85" spans="1:5" s="178" customFormat="1" ht="12" customHeight="1" thickBot="1">
      <c r="A85" s="220" t="s">
        <v>232</v>
      </c>
      <c r="B85" s="109" t="s">
        <v>252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233</v>
      </c>
      <c r="B86" s="179" t="s">
        <v>234</v>
      </c>
      <c r="C86" s="170"/>
      <c r="D86" s="170"/>
      <c r="E86" s="106"/>
    </row>
    <row r="87" spans="1:5" s="178" customFormat="1" ht="12" customHeight="1">
      <c r="A87" s="184" t="s">
        <v>235</v>
      </c>
      <c r="B87" s="180" t="s">
        <v>236</v>
      </c>
      <c r="C87" s="170"/>
      <c r="D87" s="170"/>
      <c r="E87" s="106"/>
    </row>
    <row r="88" spans="1:5" s="178" customFormat="1" ht="12" customHeight="1">
      <c r="A88" s="184" t="s">
        <v>237</v>
      </c>
      <c r="B88" s="180" t="s">
        <v>238</v>
      </c>
      <c r="C88" s="170"/>
      <c r="D88" s="170"/>
      <c r="E88" s="106"/>
    </row>
    <row r="89" spans="1:5" s="178" customFormat="1" ht="12" customHeight="1" thickBot="1">
      <c r="A89" s="185" t="s">
        <v>239</v>
      </c>
      <c r="B89" s="111" t="s">
        <v>240</v>
      </c>
      <c r="C89" s="170"/>
      <c r="D89" s="170"/>
      <c r="E89" s="106"/>
    </row>
    <row r="90" spans="1:5" s="178" customFormat="1" ht="12" customHeight="1" thickBot="1">
      <c r="A90" s="220" t="s">
        <v>241</v>
      </c>
      <c r="B90" s="109" t="s">
        <v>377</v>
      </c>
      <c r="C90" s="222"/>
      <c r="D90" s="222"/>
      <c r="E90" s="223"/>
    </row>
    <row r="91" spans="1:5" s="178" customFormat="1" ht="13.5" customHeight="1" thickBot="1">
      <c r="A91" s="220" t="s">
        <v>243</v>
      </c>
      <c r="B91" s="109" t="s">
        <v>242</v>
      </c>
      <c r="C91" s="222"/>
      <c r="D91" s="222"/>
      <c r="E91" s="223"/>
    </row>
    <row r="92" spans="1:5" s="178" customFormat="1" ht="15.75" customHeight="1" thickBot="1">
      <c r="A92" s="220" t="s">
        <v>255</v>
      </c>
      <c r="B92" s="186" t="s">
        <v>380</v>
      </c>
      <c r="C92" s="172">
        <f>+C69+C73+C78+C81+C85+C91+C90</f>
        <v>230959964</v>
      </c>
      <c r="D92" s="172">
        <f>+D69+D73+D78+D81+D85+D91+D90</f>
        <v>222819433</v>
      </c>
      <c r="E92" s="208">
        <f>+E69+E73+E78+E81+E85+E91+E90</f>
        <v>230124185</v>
      </c>
    </row>
    <row r="93" spans="1:5" s="178" customFormat="1" ht="25.5" customHeight="1" thickBot="1">
      <c r="A93" s="221" t="s">
        <v>379</v>
      </c>
      <c r="B93" s="187" t="s">
        <v>381</v>
      </c>
      <c r="C93" s="172">
        <f>+C68+C92</f>
        <v>622655349</v>
      </c>
      <c r="D93" s="172">
        <f>+D68+D92</f>
        <v>653390809</v>
      </c>
      <c r="E93" s="208">
        <f>+E68+E92</f>
        <v>670411358</v>
      </c>
    </row>
    <row r="94" spans="1:3" s="178" customFormat="1" ht="15" customHeight="1">
      <c r="A94" s="3"/>
      <c r="B94" s="4"/>
      <c r="C94" s="113"/>
    </row>
    <row r="95" spans="1:5" ht="16.5" customHeight="1">
      <c r="A95" s="811" t="s">
        <v>34</v>
      </c>
      <c r="B95" s="811"/>
      <c r="C95" s="811"/>
      <c r="D95" s="811"/>
      <c r="E95" s="811"/>
    </row>
    <row r="96" spans="1:5" s="188" customFormat="1" ht="16.5" customHeight="1" thickBot="1">
      <c r="A96" s="813" t="s">
        <v>101</v>
      </c>
      <c r="B96" s="813"/>
      <c r="C96" s="60"/>
      <c r="E96" s="60" t="str">
        <f>E7</f>
        <v> Forintban!</v>
      </c>
    </row>
    <row r="97" spans="1:5" ht="15.75">
      <c r="A97" s="820" t="s">
        <v>51</v>
      </c>
      <c r="B97" s="822" t="s">
        <v>421</v>
      </c>
      <c r="C97" s="806" t="str">
        <f>+CONCATENATE(LEFT(Z_ÖSSZEFÜGGÉSEK!A6,4),". évi")</f>
        <v>2020. évi</v>
      </c>
      <c r="D97" s="807"/>
      <c r="E97" s="808"/>
    </row>
    <row r="98" spans="1:5" ht="24.75" thickBot="1">
      <c r="A98" s="821"/>
      <c r="B98" s="823"/>
      <c r="C98" s="247" t="s">
        <v>419</v>
      </c>
      <c r="D98" s="246" t="s">
        <v>420</v>
      </c>
      <c r="E98" s="307" t="str">
        <f>CONCATENATE(E9)</f>
        <v>2020. XII. 31.
teljesítés</v>
      </c>
    </row>
    <row r="99" spans="1:5" s="177" customFormat="1" ht="12" customHeight="1" thickBot="1">
      <c r="A99" s="25" t="s">
        <v>386</v>
      </c>
      <c r="B99" s="26" t="s">
        <v>387</v>
      </c>
      <c r="C99" s="26" t="s">
        <v>388</v>
      </c>
      <c r="D99" s="26" t="s">
        <v>390</v>
      </c>
      <c r="E99" s="258" t="s">
        <v>389</v>
      </c>
    </row>
    <row r="100" spans="1:5" ht="12" customHeight="1" thickBot="1">
      <c r="A100" s="20" t="s">
        <v>6</v>
      </c>
      <c r="B100" s="24" t="s">
        <v>339</v>
      </c>
      <c r="C100" s="165">
        <f>C101+C102+C103+C104+C105+C118</f>
        <v>423976288</v>
      </c>
      <c r="D100" s="165">
        <f>D101+D102+D103+D104+D105+D118</f>
        <v>439261740</v>
      </c>
      <c r="E100" s="233">
        <f>E101+E102+E103+E104+E105+E118</f>
        <v>384495185</v>
      </c>
    </row>
    <row r="101" spans="1:5" ht="12" customHeight="1">
      <c r="A101" s="15" t="s">
        <v>63</v>
      </c>
      <c r="B101" s="8" t="s">
        <v>35</v>
      </c>
      <c r="C101" s="240">
        <v>228209131</v>
      </c>
      <c r="D101" s="240">
        <v>230143547</v>
      </c>
      <c r="E101" s="234">
        <v>213713954</v>
      </c>
    </row>
    <row r="102" spans="1:5" ht="12" customHeight="1">
      <c r="A102" s="12" t="s">
        <v>64</v>
      </c>
      <c r="B102" s="6" t="s">
        <v>122</v>
      </c>
      <c r="C102" s="167">
        <v>36629888</v>
      </c>
      <c r="D102" s="167">
        <v>35962543</v>
      </c>
      <c r="E102" s="103">
        <v>32330800</v>
      </c>
    </row>
    <row r="103" spans="1:5" ht="12" customHeight="1">
      <c r="A103" s="12" t="s">
        <v>65</v>
      </c>
      <c r="B103" s="6" t="s">
        <v>90</v>
      </c>
      <c r="C103" s="169">
        <v>128381413</v>
      </c>
      <c r="D103" s="169">
        <v>138114888</v>
      </c>
      <c r="E103" s="105">
        <v>114015045</v>
      </c>
    </row>
    <row r="104" spans="1:5" ht="12" customHeight="1">
      <c r="A104" s="12" t="s">
        <v>66</v>
      </c>
      <c r="B104" s="9" t="s">
        <v>123</v>
      </c>
      <c r="C104" s="169">
        <v>14600000</v>
      </c>
      <c r="D104" s="169">
        <v>17562350</v>
      </c>
      <c r="E104" s="105">
        <v>13704500</v>
      </c>
    </row>
    <row r="105" spans="1:5" ht="12" customHeight="1">
      <c r="A105" s="12" t="s">
        <v>75</v>
      </c>
      <c r="B105" s="17" t="s">
        <v>124</v>
      </c>
      <c r="C105" s="169">
        <v>7535000</v>
      </c>
      <c r="D105" s="169">
        <v>13693256</v>
      </c>
      <c r="E105" s="105">
        <v>10730886</v>
      </c>
    </row>
    <row r="106" spans="1:5" ht="12" customHeight="1">
      <c r="A106" s="12" t="s">
        <v>67</v>
      </c>
      <c r="B106" s="6" t="s">
        <v>344</v>
      </c>
      <c r="C106" s="169"/>
      <c r="D106" s="169">
        <v>24014</v>
      </c>
      <c r="E106" s="105">
        <v>24014</v>
      </c>
    </row>
    <row r="107" spans="1:5" ht="12" customHeight="1">
      <c r="A107" s="12" t="s">
        <v>68</v>
      </c>
      <c r="B107" s="64" t="s">
        <v>343</v>
      </c>
      <c r="C107" s="169"/>
      <c r="D107" s="169">
        <v>2202842</v>
      </c>
      <c r="E107" s="105"/>
    </row>
    <row r="108" spans="1:5" ht="12" customHeight="1">
      <c r="A108" s="12" t="s">
        <v>76</v>
      </c>
      <c r="B108" s="64" t="s">
        <v>342</v>
      </c>
      <c r="C108" s="169"/>
      <c r="D108" s="169"/>
      <c r="E108" s="105"/>
    </row>
    <row r="109" spans="1:5" ht="12" customHeight="1">
      <c r="A109" s="12" t="s">
        <v>77</v>
      </c>
      <c r="B109" s="62" t="s">
        <v>258</v>
      </c>
      <c r="C109" s="169"/>
      <c r="D109" s="169"/>
      <c r="E109" s="105"/>
    </row>
    <row r="110" spans="1:5" ht="12" customHeight="1">
      <c r="A110" s="12" t="s">
        <v>78</v>
      </c>
      <c r="B110" s="63" t="s">
        <v>259</v>
      </c>
      <c r="C110" s="169"/>
      <c r="D110" s="169"/>
      <c r="E110" s="105"/>
    </row>
    <row r="111" spans="1:5" ht="12" customHeight="1">
      <c r="A111" s="12" t="s">
        <v>79</v>
      </c>
      <c r="B111" s="63" t="s">
        <v>260</v>
      </c>
      <c r="C111" s="169"/>
      <c r="D111" s="169"/>
      <c r="E111" s="105"/>
    </row>
    <row r="112" spans="1:5" ht="12" customHeight="1">
      <c r="A112" s="12" t="s">
        <v>81</v>
      </c>
      <c r="B112" s="62" t="s">
        <v>261</v>
      </c>
      <c r="C112" s="169">
        <v>5600000</v>
      </c>
      <c r="D112" s="169">
        <v>6430000</v>
      </c>
      <c r="E112" s="105">
        <v>6425472</v>
      </c>
    </row>
    <row r="113" spans="1:5" ht="12" customHeight="1">
      <c r="A113" s="12" t="s">
        <v>125</v>
      </c>
      <c r="B113" s="62" t="s">
        <v>262</v>
      </c>
      <c r="C113" s="169"/>
      <c r="D113" s="169"/>
      <c r="E113" s="105"/>
    </row>
    <row r="114" spans="1:5" ht="12" customHeight="1">
      <c r="A114" s="12" t="s">
        <v>256</v>
      </c>
      <c r="B114" s="63" t="s">
        <v>263</v>
      </c>
      <c r="C114" s="169"/>
      <c r="D114" s="169"/>
      <c r="E114" s="105"/>
    </row>
    <row r="115" spans="1:5" ht="12" customHeight="1">
      <c r="A115" s="11" t="s">
        <v>257</v>
      </c>
      <c r="B115" s="64" t="s">
        <v>264</v>
      </c>
      <c r="C115" s="169"/>
      <c r="D115" s="169"/>
      <c r="E115" s="105"/>
    </row>
    <row r="116" spans="1:5" ht="12" customHeight="1">
      <c r="A116" s="12" t="s">
        <v>340</v>
      </c>
      <c r="B116" s="64" t="s">
        <v>265</v>
      </c>
      <c r="C116" s="169"/>
      <c r="D116" s="169"/>
      <c r="E116" s="105"/>
    </row>
    <row r="117" spans="1:5" ht="12" customHeight="1">
      <c r="A117" s="14" t="s">
        <v>341</v>
      </c>
      <c r="B117" s="64" t="s">
        <v>266</v>
      </c>
      <c r="C117" s="169">
        <v>1935000</v>
      </c>
      <c r="D117" s="169">
        <v>5036400</v>
      </c>
      <c r="E117" s="105">
        <v>4281400</v>
      </c>
    </row>
    <row r="118" spans="1:5" ht="12" customHeight="1">
      <c r="A118" s="12" t="s">
        <v>345</v>
      </c>
      <c r="B118" s="9" t="s">
        <v>36</v>
      </c>
      <c r="C118" s="167">
        <v>8620856</v>
      </c>
      <c r="D118" s="167">
        <v>3785156</v>
      </c>
      <c r="E118" s="103"/>
    </row>
    <row r="119" spans="1:5" ht="12" customHeight="1">
      <c r="A119" s="12" t="s">
        <v>346</v>
      </c>
      <c r="B119" s="6" t="s">
        <v>348</v>
      </c>
      <c r="C119" s="167">
        <v>900856</v>
      </c>
      <c r="D119" s="167">
        <v>3785156</v>
      </c>
      <c r="E119" s="103"/>
    </row>
    <row r="120" spans="1:5" ht="12" customHeight="1" thickBot="1">
      <c r="A120" s="16" t="s">
        <v>347</v>
      </c>
      <c r="B120" s="229" t="s">
        <v>349</v>
      </c>
      <c r="C120" s="241">
        <v>7720000</v>
      </c>
      <c r="D120" s="241"/>
      <c r="E120" s="235"/>
    </row>
    <row r="121" spans="1:7" ht="12" customHeight="1" thickBot="1">
      <c r="A121" s="227" t="s">
        <v>7</v>
      </c>
      <c r="B121" s="228" t="s">
        <v>267</v>
      </c>
      <c r="C121" s="242">
        <f>+C122+C124+C126</f>
        <v>198679061</v>
      </c>
      <c r="D121" s="166">
        <f>+D122+D124+D126</f>
        <v>206413412</v>
      </c>
      <c r="E121" s="236">
        <f>+E122+E124+E126</f>
        <v>81026767</v>
      </c>
      <c r="G121" s="797">
        <f>E121-C121</f>
        <v>-117652294</v>
      </c>
    </row>
    <row r="122" spans="1:5" ht="12" customHeight="1">
      <c r="A122" s="13" t="s">
        <v>69</v>
      </c>
      <c r="B122" s="6" t="s">
        <v>143</v>
      </c>
      <c r="C122" s="168">
        <v>184401849</v>
      </c>
      <c r="D122" s="251">
        <v>192227008</v>
      </c>
      <c r="E122" s="104">
        <v>68448898</v>
      </c>
    </row>
    <row r="123" spans="1:5" ht="12" customHeight="1">
      <c r="A123" s="13" t="s">
        <v>70</v>
      </c>
      <c r="B123" s="10" t="s">
        <v>271</v>
      </c>
      <c r="C123" s="168"/>
      <c r="D123" s="251"/>
      <c r="E123" s="104"/>
    </row>
    <row r="124" spans="1:5" ht="12" customHeight="1">
      <c r="A124" s="13" t="s">
        <v>71</v>
      </c>
      <c r="B124" s="10" t="s">
        <v>126</v>
      </c>
      <c r="C124" s="167">
        <v>14277212</v>
      </c>
      <c r="D124" s="252">
        <v>14186404</v>
      </c>
      <c r="E124" s="103">
        <v>12577869</v>
      </c>
    </row>
    <row r="125" spans="1:5" ht="12" customHeight="1">
      <c r="A125" s="13" t="s">
        <v>72</v>
      </c>
      <c r="B125" s="10" t="s">
        <v>272</v>
      </c>
      <c r="C125" s="167"/>
      <c r="D125" s="252"/>
      <c r="E125" s="103"/>
    </row>
    <row r="126" spans="1:5" ht="12" customHeight="1">
      <c r="A126" s="13" t="s">
        <v>73</v>
      </c>
      <c r="B126" s="111" t="s">
        <v>145</v>
      </c>
      <c r="C126" s="167"/>
      <c r="D126" s="252"/>
      <c r="E126" s="103"/>
    </row>
    <row r="127" spans="1:5" ht="12" customHeight="1">
      <c r="A127" s="13" t="s">
        <v>80</v>
      </c>
      <c r="B127" s="110" t="s">
        <v>332</v>
      </c>
      <c r="C127" s="167"/>
      <c r="D127" s="252"/>
      <c r="E127" s="103"/>
    </row>
    <row r="128" spans="1:5" ht="12" customHeight="1">
      <c r="A128" s="13" t="s">
        <v>82</v>
      </c>
      <c r="B128" s="175" t="s">
        <v>277</v>
      </c>
      <c r="C128" s="167"/>
      <c r="D128" s="252"/>
      <c r="E128" s="103"/>
    </row>
    <row r="129" spans="1:5" ht="15.75">
      <c r="A129" s="13" t="s">
        <v>127</v>
      </c>
      <c r="B129" s="63" t="s">
        <v>260</v>
      </c>
      <c r="C129" s="167"/>
      <c r="D129" s="252"/>
      <c r="E129" s="103"/>
    </row>
    <row r="130" spans="1:5" ht="12" customHeight="1">
      <c r="A130" s="13" t="s">
        <v>128</v>
      </c>
      <c r="B130" s="63" t="s">
        <v>276</v>
      </c>
      <c r="C130" s="167"/>
      <c r="D130" s="252"/>
      <c r="E130" s="103"/>
    </row>
    <row r="131" spans="1:5" ht="12" customHeight="1">
      <c r="A131" s="13" t="s">
        <v>129</v>
      </c>
      <c r="B131" s="63" t="s">
        <v>275</v>
      </c>
      <c r="C131" s="167"/>
      <c r="D131" s="252"/>
      <c r="E131" s="103"/>
    </row>
    <row r="132" spans="1:5" ht="12" customHeight="1">
      <c r="A132" s="13" t="s">
        <v>268</v>
      </c>
      <c r="B132" s="63" t="s">
        <v>263</v>
      </c>
      <c r="C132" s="167"/>
      <c r="D132" s="252"/>
      <c r="E132" s="103"/>
    </row>
    <row r="133" spans="1:5" ht="12" customHeight="1">
      <c r="A133" s="13" t="s">
        <v>269</v>
      </c>
      <c r="B133" s="63" t="s">
        <v>274</v>
      </c>
      <c r="C133" s="167"/>
      <c r="D133" s="252"/>
      <c r="E133" s="103"/>
    </row>
    <row r="134" spans="1:5" ht="16.5" thickBot="1">
      <c r="A134" s="11" t="s">
        <v>270</v>
      </c>
      <c r="B134" s="63" t="s">
        <v>273</v>
      </c>
      <c r="C134" s="169"/>
      <c r="D134" s="253"/>
      <c r="E134" s="105"/>
    </row>
    <row r="135" spans="1:5" ht="12" customHeight="1" thickBot="1">
      <c r="A135" s="18" t="s">
        <v>8</v>
      </c>
      <c r="B135" s="56" t="s">
        <v>350</v>
      </c>
      <c r="C135" s="166">
        <f>+C100+C121</f>
        <v>622655349</v>
      </c>
      <c r="D135" s="250">
        <f>+D100+D121</f>
        <v>645675152</v>
      </c>
      <c r="E135" s="102">
        <f>+E100+E121</f>
        <v>465521952</v>
      </c>
    </row>
    <row r="136" spans="1:5" ht="12" customHeight="1" thickBot="1">
      <c r="A136" s="18" t="s">
        <v>9</v>
      </c>
      <c r="B136" s="56" t="s">
        <v>422</v>
      </c>
      <c r="C136" s="166">
        <f>+C137+C138+C139</f>
        <v>0</v>
      </c>
      <c r="D136" s="250">
        <f>+D137+D138+D139</f>
        <v>0</v>
      </c>
      <c r="E136" s="102">
        <f>+E137+E138+E139</f>
        <v>0</v>
      </c>
    </row>
    <row r="137" spans="1:5" ht="12" customHeight="1">
      <c r="A137" s="13" t="s">
        <v>177</v>
      </c>
      <c r="B137" s="10" t="s">
        <v>358</v>
      </c>
      <c r="C137" s="167"/>
      <c r="D137" s="252"/>
      <c r="E137" s="103"/>
    </row>
    <row r="138" spans="1:5" ht="12" customHeight="1">
      <c r="A138" s="13" t="s">
        <v>178</v>
      </c>
      <c r="B138" s="10" t="s">
        <v>359</v>
      </c>
      <c r="C138" s="167"/>
      <c r="D138" s="252"/>
      <c r="E138" s="103"/>
    </row>
    <row r="139" spans="1:5" ht="12" customHeight="1" thickBot="1">
      <c r="A139" s="11" t="s">
        <v>179</v>
      </c>
      <c r="B139" s="10" t="s">
        <v>360</v>
      </c>
      <c r="C139" s="167"/>
      <c r="D139" s="252"/>
      <c r="E139" s="103"/>
    </row>
    <row r="140" spans="1:5" ht="12" customHeight="1" thickBot="1">
      <c r="A140" s="18" t="s">
        <v>10</v>
      </c>
      <c r="B140" s="56" t="s">
        <v>352</v>
      </c>
      <c r="C140" s="166">
        <f>SUM(C141:C146)</f>
        <v>0</v>
      </c>
      <c r="D140" s="250">
        <f>SUM(D141:D146)</f>
        <v>0</v>
      </c>
      <c r="E140" s="102">
        <f>SUM(E141:E146)</f>
        <v>0</v>
      </c>
    </row>
    <row r="141" spans="1:5" ht="12" customHeight="1">
      <c r="A141" s="13" t="s">
        <v>56</v>
      </c>
      <c r="B141" s="7" t="s">
        <v>361</v>
      </c>
      <c r="C141" s="167"/>
      <c r="D141" s="252"/>
      <c r="E141" s="103"/>
    </row>
    <row r="142" spans="1:5" ht="12" customHeight="1">
      <c r="A142" s="13" t="s">
        <v>57</v>
      </c>
      <c r="B142" s="7" t="s">
        <v>353</v>
      </c>
      <c r="C142" s="167"/>
      <c r="D142" s="252"/>
      <c r="E142" s="103"/>
    </row>
    <row r="143" spans="1:5" ht="12" customHeight="1">
      <c r="A143" s="13" t="s">
        <v>58</v>
      </c>
      <c r="B143" s="7" t="s">
        <v>354</v>
      </c>
      <c r="C143" s="167"/>
      <c r="D143" s="252"/>
      <c r="E143" s="103"/>
    </row>
    <row r="144" spans="1:5" ht="12" customHeight="1">
      <c r="A144" s="13" t="s">
        <v>114</v>
      </c>
      <c r="B144" s="7" t="s">
        <v>355</v>
      </c>
      <c r="C144" s="167"/>
      <c r="D144" s="252"/>
      <c r="E144" s="103"/>
    </row>
    <row r="145" spans="1:5" ht="12" customHeight="1">
      <c r="A145" s="13" t="s">
        <v>115</v>
      </c>
      <c r="B145" s="7" t="s">
        <v>356</v>
      </c>
      <c r="C145" s="167"/>
      <c r="D145" s="252"/>
      <c r="E145" s="103"/>
    </row>
    <row r="146" spans="1:5" ht="12" customHeight="1" thickBot="1">
      <c r="A146" s="16" t="s">
        <v>116</v>
      </c>
      <c r="B146" s="313" t="s">
        <v>357</v>
      </c>
      <c r="C146" s="241"/>
      <c r="D146" s="290"/>
      <c r="E146" s="235"/>
    </row>
    <row r="147" spans="1:5" ht="12" customHeight="1" thickBot="1">
      <c r="A147" s="18" t="s">
        <v>11</v>
      </c>
      <c r="B147" s="56" t="s">
        <v>365</v>
      </c>
      <c r="C147" s="172">
        <f>+C148+C149+C150+C151</f>
        <v>0</v>
      </c>
      <c r="D147" s="254">
        <f>+D148+D149+D150+D151</f>
        <v>7715657</v>
      </c>
      <c r="E147" s="208">
        <f>+E148+E149+E150+E151</f>
        <v>7715657</v>
      </c>
    </row>
    <row r="148" spans="1:5" ht="12" customHeight="1">
      <c r="A148" s="13" t="s">
        <v>59</v>
      </c>
      <c r="B148" s="7" t="s">
        <v>278</v>
      </c>
      <c r="C148" s="167"/>
      <c r="D148" s="252"/>
      <c r="E148" s="103"/>
    </row>
    <row r="149" spans="1:5" ht="12" customHeight="1">
      <c r="A149" s="13" t="s">
        <v>60</v>
      </c>
      <c r="B149" s="7" t="s">
        <v>279</v>
      </c>
      <c r="C149" s="167"/>
      <c r="D149" s="252">
        <v>7715657</v>
      </c>
      <c r="E149" s="103">
        <v>7715657</v>
      </c>
    </row>
    <row r="150" spans="1:5" ht="12" customHeight="1">
      <c r="A150" s="13" t="s">
        <v>195</v>
      </c>
      <c r="B150" s="7" t="s">
        <v>366</v>
      </c>
      <c r="C150" s="167"/>
      <c r="D150" s="252"/>
      <c r="E150" s="103"/>
    </row>
    <row r="151" spans="1:5" ht="12" customHeight="1" thickBot="1">
      <c r="A151" s="11" t="s">
        <v>196</v>
      </c>
      <c r="B151" s="5" t="s">
        <v>295</v>
      </c>
      <c r="C151" s="167"/>
      <c r="D151" s="252"/>
      <c r="E151" s="103"/>
    </row>
    <row r="152" spans="1:5" ht="12" customHeight="1" thickBot="1">
      <c r="A152" s="18" t="s">
        <v>12</v>
      </c>
      <c r="B152" s="56" t="s">
        <v>367</v>
      </c>
      <c r="C152" s="243">
        <f>SUM(C153:C157)</f>
        <v>0</v>
      </c>
      <c r="D152" s="255">
        <f>SUM(D153:D157)</f>
        <v>0</v>
      </c>
      <c r="E152" s="237">
        <f>SUM(E153:E157)</f>
        <v>0</v>
      </c>
    </row>
    <row r="153" spans="1:5" ht="12" customHeight="1">
      <c r="A153" s="13" t="s">
        <v>61</v>
      </c>
      <c r="B153" s="7" t="s">
        <v>362</v>
      </c>
      <c r="C153" s="167"/>
      <c r="D153" s="252"/>
      <c r="E153" s="103"/>
    </row>
    <row r="154" spans="1:5" ht="12" customHeight="1">
      <c r="A154" s="13" t="s">
        <v>62</v>
      </c>
      <c r="B154" s="7" t="s">
        <v>369</v>
      </c>
      <c r="C154" s="167"/>
      <c r="D154" s="252"/>
      <c r="E154" s="103"/>
    </row>
    <row r="155" spans="1:5" ht="12" customHeight="1">
      <c r="A155" s="13" t="s">
        <v>207</v>
      </c>
      <c r="B155" s="7" t="s">
        <v>364</v>
      </c>
      <c r="C155" s="167"/>
      <c r="D155" s="252"/>
      <c r="E155" s="103"/>
    </row>
    <row r="156" spans="1:5" ht="12" customHeight="1">
      <c r="A156" s="13" t="s">
        <v>208</v>
      </c>
      <c r="B156" s="7" t="s">
        <v>370</v>
      </c>
      <c r="C156" s="167"/>
      <c r="D156" s="252"/>
      <c r="E156" s="103"/>
    </row>
    <row r="157" spans="1:5" ht="12" customHeight="1" thickBot="1">
      <c r="A157" s="13" t="s">
        <v>368</v>
      </c>
      <c r="B157" s="7" t="s">
        <v>371</v>
      </c>
      <c r="C157" s="167"/>
      <c r="D157" s="252"/>
      <c r="E157" s="103"/>
    </row>
    <row r="158" spans="1:5" ht="12" customHeight="1" thickBot="1">
      <c r="A158" s="18" t="s">
        <v>13</v>
      </c>
      <c r="B158" s="56" t="s">
        <v>372</v>
      </c>
      <c r="C158" s="244"/>
      <c r="D158" s="256"/>
      <c r="E158" s="238"/>
    </row>
    <row r="159" spans="1:5" ht="12" customHeight="1" thickBot="1">
      <c r="A159" s="18" t="s">
        <v>14</v>
      </c>
      <c r="B159" s="56" t="s">
        <v>373</v>
      </c>
      <c r="C159" s="244"/>
      <c r="D159" s="256"/>
      <c r="E159" s="238"/>
    </row>
    <row r="160" spans="1:9" ht="15" customHeight="1" thickBot="1">
      <c r="A160" s="18" t="s">
        <v>15</v>
      </c>
      <c r="B160" s="56" t="s">
        <v>375</v>
      </c>
      <c r="C160" s="245">
        <f>+C136+C140+C147+C152+C158+C159</f>
        <v>0</v>
      </c>
      <c r="D160" s="257">
        <f>+D136+D140+D147+D152+D158+D159</f>
        <v>7715657</v>
      </c>
      <c r="E160" s="239">
        <f>+E136+E140+E147+E152+E158+E159</f>
        <v>7715657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374</v>
      </c>
      <c r="C161" s="245">
        <f>+C135+C160</f>
        <v>622655349</v>
      </c>
      <c r="D161" s="257">
        <f>+D135+D160</f>
        <v>653390809</v>
      </c>
      <c r="E161" s="239">
        <f>+E135+E160</f>
        <v>473237609</v>
      </c>
    </row>
    <row r="162" spans="3:4" ht="15.75">
      <c r="C162" s="656">
        <f>C93-C161</f>
        <v>0</v>
      </c>
      <c r="D162" s="656">
        <f>D93-D161</f>
        <v>0</v>
      </c>
    </row>
    <row r="163" spans="1:5" ht="15.75">
      <c r="A163" s="809" t="s">
        <v>280</v>
      </c>
      <c r="B163" s="809"/>
      <c r="C163" s="809"/>
      <c r="D163" s="809"/>
      <c r="E163" s="809"/>
    </row>
    <row r="164" spans="1:5" ht="15" customHeight="1" thickBot="1">
      <c r="A164" s="819" t="s">
        <v>102</v>
      </c>
      <c r="B164" s="819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376</v>
      </c>
      <c r="C165" s="249">
        <f>+C68-C135</f>
        <v>-230959964</v>
      </c>
      <c r="D165" s="166">
        <f>+D68-D135</f>
        <v>-215103776</v>
      </c>
      <c r="E165" s="102">
        <f>+E68-E135</f>
        <v>-25234779</v>
      </c>
    </row>
    <row r="166" spans="1:5" ht="32.25" customHeight="1" thickBot="1">
      <c r="A166" s="18" t="s">
        <v>7</v>
      </c>
      <c r="B166" s="23" t="s">
        <v>382</v>
      </c>
      <c r="C166" s="166">
        <f>+C92-C160</f>
        <v>230959964</v>
      </c>
      <c r="D166" s="166">
        <f>+D92-D160</f>
        <v>215103776</v>
      </c>
      <c r="E166" s="102">
        <f>+E92-E160</f>
        <v>222408528</v>
      </c>
    </row>
  </sheetData>
  <sheetProtection/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B1" sqref="B1:E1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14"/>
      <c r="B1" s="814" t="str">
        <f>CONCATENATE("2. melléklet ",Z_ALAPADATOK!A7," ",Z_ALAPADATOK!B7," ",Z_ALAPADATOK!C7," ",Z_ALAPADATOK!D7," ",Z_ALAPADATOK!E7," ",Z_ALAPADATOK!F7," ",Z_ALAPADATOK!G7," ",Z_ALAPADATOK!H7)</f>
        <v>2. melléklet a 8 / 2021. ( V.25 ) önkormányzati rendelethez</v>
      </c>
      <c r="C1" s="815"/>
      <c r="D1" s="815"/>
      <c r="E1" s="815"/>
    </row>
    <row r="2" spans="1:5" ht="15.75">
      <c r="A2" s="816" t="str">
        <f>CONCATENATE(Z_ALAPADATOK!A3)</f>
        <v>BEKECS KÖZSÉG Önkormányzata</v>
      </c>
      <c r="B2" s="817"/>
      <c r="C2" s="817"/>
      <c r="D2" s="817"/>
      <c r="E2" s="817"/>
    </row>
    <row r="3" spans="1:5" ht="15.75">
      <c r="A3" s="816" t="str">
        <f>CONCATENATE(Z_ALAPADATOK!B1,". ÉVI ZÁRSZÁMADÁS")</f>
        <v>2020. ÉVI ZÁRSZÁMADÁS</v>
      </c>
      <c r="B3" s="816"/>
      <c r="C3" s="818"/>
      <c r="D3" s="816"/>
      <c r="E3" s="816"/>
    </row>
    <row r="4" spans="1:5" ht="17.25" customHeight="1">
      <c r="A4" s="816" t="s">
        <v>839</v>
      </c>
      <c r="B4" s="816"/>
      <c r="C4" s="818"/>
      <c r="D4" s="816"/>
      <c r="E4" s="816"/>
    </row>
    <row r="5" spans="1:5" ht="15.75">
      <c r="A5" s="314"/>
      <c r="B5" s="314"/>
      <c r="C5" s="315"/>
      <c r="D5" s="316"/>
      <c r="E5" s="316"/>
    </row>
    <row r="6" spans="1:5" ht="15.75" customHeight="1">
      <c r="A6" s="810" t="s">
        <v>3</v>
      </c>
      <c r="B6" s="810"/>
      <c r="C6" s="810"/>
      <c r="D6" s="810"/>
      <c r="E6" s="810"/>
    </row>
    <row r="7" spans="1:5" ht="15.75" customHeight="1" thickBot="1">
      <c r="A7" s="812" t="s">
        <v>100</v>
      </c>
      <c r="B7" s="812"/>
      <c r="C7" s="317"/>
      <c r="D7" s="316"/>
      <c r="E7" s="317" t="str">
        <f>CONCATENATE('1 '!E7)</f>
        <v> Forintban!</v>
      </c>
    </row>
    <row r="8" spans="1:5" ht="15.75">
      <c r="A8" s="820" t="s">
        <v>51</v>
      </c>
      <c r="B8" s="822" t="s">
        <v>5</v>
      </c>
      <c r="C8" s="806" t="str">
        <f>+CONCATENATE(LEFT(Z_ÖSSZEFÜGGÉSEK!A6,4),". évi")</f>
        <v>2020. évi</v>
      </c>
      <c r="D8" s="807"/>
      <c r="E8" s="808"/>
    </row>
    <row r="9" spans="1:5" ht="24.75" thickBot="1">
      <c r="A9" s="821"/>
      <c r="B9" s="823"/>
      <c r="C9" s="247" t="s">
        <v>419</v>
      </c>
      <c r="D9" s="246" t="s">
        <v>420</v>
      </c>
      <c r="E9" s="307" t="str">
        <f>CONCATENATE('1 '!E9)</f>
        <v>2020. XII. 31.
teljesítés</v>
      </c>
    </row>
    <row r="10" spans="1:5" s="177" customFormat="1" ht="12" customHeight="1" thickBot="1">
      <c r="A10" s="173" t="s">
        <v>386</v>
      </c>
      <c r="B10" s="174" t="s">
        <v>387</v>
      </c>
      <c r="C10" s="174" t="s">
        <v>388</v>
      </c>
      <c r="D10" s="174" t="s">
        <v>390</v>
      </c>
      <c r="E10" s="248" t="s">
        <v>389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129460085</v>
      </c>
      <c r="D11" s="166">
        <f>+D12+D13+D14+D15+D16+D17</f>
        <v>148912342</v>
      </c>
      <c r="E11" s="102">
        <f>+E12+E13+E14+E15+E16+E17</f>
        <v>148912342</v>
      </c>
    </row>
    <row r="12" spans="1:5" s="178" customFormat="1" ht="12" customHeight="1">
      <c r="A12" s="13" t="s">
        <v>63</v>
      </c>
      <c r="B12" s="179" t="s">
        <v>163</v>
      </c>
      <c r="C12" s="168">
        <v>5854470</v>
      </c>
      <c r="D12" s="168">
        <v>9593136</v>
      </c>
      <c r="E12" s="104">
        <v>9593136</v>
      </c>
    </row>
    <row r="13" spans="1:5" s="178" customFormat="1" ht="12" customHeight="1">
      <c r="A13" s="12" t="s">
        <v>64</v>
      </c>
      <c r="B13" s="180" t="s">
        <v>164</v>
      </c>
      <c r="C13" s="167">
        <v>70659100</v>
      </c>
      <c r="D13" s="167">
        <v>79185120</v>
      </c>
      <c r="E13" s="103">
        <v>79185120</v>
      </c>
    </row>
    <row r="14" spans="1:5" s="178" customFormat="1" ht="12" customHeight="1">
      <c r="A14" s="12" t="s">
        <v>65</v>
      </c>
      <c r="B14" s="180" t="s">
        <v>165</v>
      </c>
      <c r="C14" s="167">
        <v>49892824</v>
      </c>
      <c r="D14" s="167">
        <v>48973067</v>
      </c>
      <c r="E14" s="103">
        <v>48973067</v>
      </c>
    </row>
    <row r="15" spans="1:5" s="178" customFormat="1" ht="12" customHeight="1">
      <c r="A15" s="12" t="s">
        <v>66</v>
      </c>
      <c r="B15" s="180" t="s">
        <v>166</v>
      </c>
      <c r="C15" s="167">
        <v>3053691</v>
      </c>
      <c r="D15" s="167">
        <v>4397323</v>
      </c>
      <c r="E15" s="103">
        <v>4397323</v>
      </c>
    </row>
    <row r="16" spans="1:5" s="178" customFormat="1" ht="12" customHeight="1">
      <c r="A16" s="12" t="s">
        <v>97</v>
      </c>
      <c r="B16" s="110" t="s">
        <v>334</v>
      </c>
      <c r="C16" s="167"/>
      <c r="D16" s="167">
        <v>6663750</v>
      </c>
      <c r="E16" s="103">
        <v>6663750</v>
      </c>
    </row>
    <row r="17" spans="1:5" s="178" customFormat="1" ht="12" customHeight="1" thickBot="1">
      <c r="A17" s="14" t="s">
        <v>67</v>
      </c>
      <c r="B17" s="111" t="s">
        <v>335</v>
      </c>
      <c r="C17" s="167"/>
      <c r="D17" s="167">
        <v>99946</v>
      </c>
      <c r="E17" s="103">
        <v>99946</v>
      </c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94415157</v>
      </c>
      <c r="D18" s="166">
        <f>+D19+D20+D21+D22+D23</f>
        <v>85009001</v>
      </c>
      <c r="E18" s="102">
        <f>+E19+E20+E21+E22+E23</f>
        <v>87682500</v>
      </c>
    </row>
    <row r="19" spans="1:5" s="178" customFormat="1" ht="12" customHeight="1">
      <c r="A19" s="13" t="s">
        <v>69</v>
      </c>
      <c r="B19" s="179" t="s">
        <v>168</v>
      </c>
      <c r="C19" s="168"/>
      <c r="D19" s="168">
        <v>2202842</v>
      </c>
      <c r="E19" s="104"/>
    </row>
    <row r="20" spans="1:5" s="178" customFormat="1" ht="12" customHeight="1">
      <c r="A20" s="12" t="s">
        <v>70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71</v>
      </c>
      <c r="B21" s="180" t="s">
        <v>326</v>
      </c>
      <c r="C21" s="167"/>
      <c r="D21" s="167"/>
      <c r="E21" s="103"/>
    </row>
    <row r="22" spans="1:5" s="178" customFormat="1" ht="12" customHeight="1">
      <c r="A22" s="12" t="s">
        <v>72</v>
      </c>
      <c r="B22" s="180" t="s">
        <v>327</v>
      </c>
      <c r="C22" s="167"/>
      <c r="D22" s="167"/>
      <c r="E22" s="103"/>
    </row>
    <row r="23" spans="1:5" s="178" customFormat="1" ht="12" customHeight="1">
      <c r="A23" s="12" t="s">
        <v>73</v>
      </c>
      <c r="B23" s="180" t="s">
        <v>170</v>
      </c>
      <c r="C23" s="167">
        <v>94415157</v>
      </c>
      <c r="D23" s="167">
        <v>82806159</v>
      </c>
      <c r="E23" s="103">
        <v>87682500</v>
      </c>
    </row>
    <row r="24" spans="1:5" s="178" customFormat="1" ht="12" customHeight="1" thickBot="1">
      <c r="A24" s="14" t="s">
        <v>80</v>
      </c>
      <c r="B24" s="111" t="s">
        <v>171</v>
      </c>
      <c r="C24" s="169"/>
      <c r="D24" s="169"/>
      <c r="E24" s="105"/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4830488</v>
      </c>
      <c r="D25" s="166">
        <f>+D26+D27+D28+D29+D30</f>
        <v>22151088</v>
      </c>
      <c r="E25" s="102">
        <f>+E26+E27+E28+E29+E30</f>
        <v>44448258</v>
      </c>
    </row>
    <row r="26" spans="1:5" s="178" customFormat="1" ht="12" customHeight="1">
      <c r="A26" s="13" t="s">
        <v>52</v>
      </c>
      <c r="B26" s="179" t="s">
        <v>173</v>
      </c>
      <c r="C26" s="168"/>
      <c r="D26" s="168"/>
      <c r="E26" s="104"/>
    </row>
    <row r="27" spans="1:5" s="178" customFormat="1" ht="12" customHeight="1">
      <c r="A27" s="12" t="s">
        <v>53</v>
      </c>
      <c r="B27" s="180" t="s">
        <v>174</v>
      </c>
      <c r="C27" s="167"/>
      <c r="D27" s="167"/>
      <c r="E27" s="103"/>
    </row>
    <row r="28" spans="1:5" s="178" customFormat="1" ht="12" customHeight="1">
      <c r="A28" s="12" t="s">
        <v>54</v>
      </c>
      <c r="B28" s="180" t="s">
        <v>328</v>
      </c>
      <c r="C28" s="167"/>
      <c r="D28" s="167"/>
      <c r="E28" s="103"/>
    </row>
    <row r="29" spans="1:5" s="178" customFormat="1" ht="12" customHeight="1">
      <c r="A29" s="12" t="s">
        <v>55</v>
      </c>
      <c r="B29" s="180" t="s">
        <v>329</v>
      </c>
      <c r="C29" s="167"/>
      <c r="D29" s="167"/>
      <c r="E29" s="103"/>
    </row>
    <row r="30" spans="1:5" s="178" customFormat="1" ht="12" customHeight="1">
      <c r="A30" s="12" t="s">
        <v>110</v>
      </c>
      <c r="B30" s="180" t="s">
        <v>175</v>
      </c>
      <c r="C30" s="167">
        <v>4830488</v>
      </c>
      <c r="D30" s="167">
        <v>22151088</v>
      </c>
      <c r="E30" s="103">
        <v>44448258</v>
      </c>
    </row>
    <row r="31" spans="1:5" s="178" customFormat="1" ht="12" customHeight="1" thickBot="1">
      <c r="A31" s="14" t="s">
        <v>111</v>
      </c>
      <c r="B31" s="181" t="s">
        <v>176</v>
      </c>
      <c r="C31" s="169"/>
      <c r="D31" s="169"/>
      <c r="E31" s="105"/>
    </row>
    <row r="32" spans="1:5" s="178" customFormat="1" ht="12" customHeight="1" thickBot="1">
      <c r="A32" s="18" t="s">
        <v>112</v>
      </c>
      <c r="B32" s="19" t="s">
        <v>477</v>
      </c>
      <c r="C32" s="172">
        <f>SUM(C33:C39)</f>
        <v>66134393</v>
      </c>
      <c r="D32" s="172">
        <f>SUM(D33:D39)</f>
        <v>55134393</v>
      </c>
      <c r="E32" s="208">
        <f>SUM(E33:E39)</f>
        <v>57099048</v>
      </c>
    </row>
    <row r="33" spans="1:5" s="178" customFormat="1" ht="12" customHeight="1">
      <c r="A33" s="13" t="s">
        <v>177</v>
      </c>
      <c r="B33" s="179" t="str">
        <f>'1 '!B33</f>
        <v>Építményadó</v>
      </c>
      <c r="C33" s="168"/>
      <c r="D33" s="168"/>
      <c r="E33" s="104"/>
    </row>
    <row r="34" spans="1:5" s="178" customFormat="1" ht="12" customHeight="1">
      <c r="A34" s="12" t="s">
        <v>178</v>
      </c>
      <c r="B34" s="179" t="str">
        <f>'1 '!B34</f>
        <v>Idegenforgalmi adó </v>
      </c>
      <c r="C34" s="167"/>
      <c r="D34" s="167"/>
      <c r="E34" s="103"/>
    </row>
    <row r="35" spans="1:5" s="178" customFormat="1" ht="12" customHeight="1">
      <c r="A35" s="12" t="s">
        <v>179</v>
      </c>
      <c r="B35" s="179" t="str">
        <f>'1 '!B35</f>
        <v>Iparűzési adó</v>
      </c>
      <c r="C35" s="167">
        <v>53134393</v>
      </c>
      <c r="D35" s="167">
        <v>53134393</v>
      </c>
      <c r="E35" s="103">
        <v>56332908</v>
      </c>
    </row>
    <row r="36" spans="1:5" s="178" customFormat="1" ht="12" customHeight="1">
      <c r="A36" s="12" t="s">
        <v>180</v>
      </c>
      <c r="B36" s="179" t="str">
        <f>'1 '!B36</f>
        <v>Talajterhelési díj</v>
      </c>
      <c r="C36" s="167">
        <v>2000000</v>
      </c>
      <c r="D36" s="167">
        <v>2000000</v>
      </c>
      <c r="E36" s="103">
        <v>742140</v>
      </c>
    </row>
    <row r="37" spans="1:5" s="178" customFormat="1" ht="12" customHeight="1">
      <c r="A37" s="12" t="s">
        <v>481</v>
      </c>
      <c r="B37" s="179" t="str">
        <f>'1 '!B37</f>
        <v>Gépjárműadó</v>
      </c>
      <c r="C37" s="167">
        <v>11000000</v>
      </c>
      <c r="D37" s="167"/>
      <c r="E37" s="103"/>
    </row>
    <row r="38" spans="1:5" s="178" customFormat="1" ht="12" customHeight="1">
      <c r="A38" s="12" t="s">
        <v>482</v>
      </c>
      <c r="B38" s="179" t="str">
        <f>'1 '!B38</f>
        <v>Telekadó</v>
      </c>
      <c r="C38" s="167"/>
      <c r="D38" s="167"/>
      <c r="E38" s="103"/>
    </row>
    <row r="39" spans="1:5" s="178" customFormat="1" ht="12" customHeight="1" thickBot="1">
      <c r="A39" s="14" t="s">
        <v>483</v>
      </c>
      <c r="B39" s="179" t="str">
        <f>'1 '!B39</f>
        <v>Kommunális adó</v>
      </c>
      <c r="C39" s="169"/>
      <c r="D39" s="169"/>
      <c r="E39" s="105">
        <v>24000</v>
      </c>
    </row>
    <row r="40" spans="1:5" s="178" customFormat="1" ht="12" customHeight="1" thickBot="1">
      <c r="A40" s="18" t="s">
        <v>10</v>
      </c>
      <c r="B40" s="19" t="s">
        <v>336</v>
      </c>
      <c r="C40" s="166">
        <f>SUM(C41:C51)</f>
        <v>26790000</v>
      </c>
      <c r="D40" s="166">
        <f>SUM(D41:D51)</f>
        <v>33256781</v>
      </c>
      <c r="E40" s="102">
        <f>SUM(E41:E51)</f>
        <v>23565728</v>
      </c>
    </row>
    <row r="41" spans="1:5" s="178" customFormat="1" ht="12" customHeight="1">
      <c r="A41" s="13" t="s">
        <v>56</v>
      </c>
      <c r="B41" s="179" t="s">
        <v>184</v>
      </c>
      <c r="C41" s="168"/>
      <c r="D41" s="168"/>
      <c r="E41" s="104"/>
    </row>
    <row r="42" spans="1:5" s="178" customFormat="1" ht="12" customHeight="1">
      <c r="A42" s="12" t="s">
        <v>57</v>
      </c>
      <c r="B42" s="180" t="s">
        <v>185</v>
      </c>
      <c r="C42" s="167">
        <v>11000000</v>
      </c>
      <c r="D42" s="167">
        <v>14000000</v>
      </c>
      <c r="E42" s="103">
        <v>10557161</v>
      </c>
    </row>
    <row r="43" spans="1:5" s="178" customFormat="1" ht="12" customHeight="1">
      <c r="A43" s="12" t="s">
        <v>58</v>
      </c>
      <c r="B43" s="180" t="s">
        <v>186</v>
      </c>
      <c r="C43" s="167">
        <v>3300000</v>
      </c>
      <c r="D43" s="167">
        <v>3300000</v>
      </c>
      <c r="E43" s="103">
        <v>840601</v>
      </c>
    </row>
    <row r="44" spans="1:5" s="178" customFormat="1" ht="12" customHeight="1">
      <c r="A44" s="12" t="s">
        <v>114</v>
      </c>
      <c r="B44" s="180" t="s">
        <v>187</v>
      </c>
      <c r="C44" s="167"/>
      <c r="D44" s="167"/>
      <c r="E44" s="103"/>
    </row>
    <row r="45" spans="1:5" s="178" customFormat="1" ht="12" customHeight="1">
      <c r="A45" s="12" t="s">
        <v>115</v>
      </c>
      <c r="B45" s="180" t="s">
        <v>188</v>
      </c>
      <c r="C45" s="167">
        <v>7000000</v>
      </c>
      <c r="D45" s="167">
        <v>9731102</v>
      </c>
      <c r="E45" s="103">
        <v>7617648</v>
      </c>
    </row>
    <row r="46" spans="1:5" s="178" customFormat="1" ht="12" customHeight="1">
      <c r="A46" s="12" t="s">
        <v>116</v>
      </c>
      <c r="B46" s="180" t="s">
        <v>189</v>
      </c>
      <c r="C46" s="167">
        <v>5240000</v>
      </c>
      <c r="D46" s="167">
        <v>5975679</v>
      </c>
      <c r="E46" s="103">
        <v>4366424</v>
      </c>
    </row>
    <row r="47" spans="1:5" s="178" customFormat="1" ht="12" customHeight="1">
      <c r="A47" s="12" t="s">
        <v>117</v>
      </c>
      <c r="B47" s="180" t="s">
        <v>190</v>
      </c>
      <c r="C47" s="167"/>
      <c r="D47" s="167"/>
      <c r="E47" s="103">
        <v>2</v>
      </c>
    </row>
    <row r="48" spans="1:5" s="178" customFormat="1" ht="12" customHeight="1">
      <c r="A48" s="12" t="s">
        <v>118</v>
      </c>
      <c r="B48" s="180" t="s">
        <v>484</v>
      </c>
      <c r="C48" s="167">
        <v>150000</v>
      </c>
      <c r="D48" s="167">
        <v>150000</v>
      </c>
      <c r="E48" s="103">
        <v>125413</v>
      </c>
    </row>
    <row r="49" spans="1:5" s="178" customFormat="1" ht="12" customHeight="1">
      <c r="A49" s="12" t="s">
        <v>182</v>
      </c>
      <c r="B49" s="180" t="s">
        <v>192</v>
      </c>
      <c r="C49" s="170"/>
      <c r="D49" s="170"/>
      <c r="E49" s="106"/>
    </row>
    <row r="50" spans="1:5" s="178" customFormat="1" ht="12" customHeight="1">
      <c r="A50" s="14" t="s">
        <v>183</v>
      </c>
      <c r="B50" s="181" t="s">
        <v>338</v>
      </c>
      <c r="C50" s="171"/>
      <c r="D50" s="171"/>
      <c r="E50" s="107"/>
    </row>
    <row r="51" spans="1:5" s="178" customFormat="1" ht="12" customHeight="1" thickBot="1">
      <c r="A51" s="14" t="s">
        <v>337</v>
      </c>
      <c r="B51" s="111" t="s">
        <v>193</v>
      </c>
      <c r="C51" s="171">
        <v>100000</v>
      </c>
      <c r="D51" s="171">
        <v>100000</v>
      </c>
      <c r="E51" s="107">
        <v>58479</v>
      </c>
    </row>
    <row r="52" spans="1:5" s="178" customFormat="1" ht="12" customHeight="1" thickBot="1">
      <c r="A52" s="18" t="s">
        <v>11</v>
      </c>
      <c r="B52" s="19" t="s">
        <v>194</v>
      </c>
      <c r="C52" s="166">
        <f>SUM(C53:C57)</f>
        <v>0</v>
      </c>
      <c r="D52" s="166">
        <f>SUM(D53:D57)</f>
        <v>6200000</v>
      </c>
      <c r="E52" s="102">
        <f>SUM(E53:E57)</f>
        <v>2266874</v>
      </c>
    </row>
    <row r="53" spans="1:5" s="178" customFormat="1" ht="12" customHeight="1">
      <c r="A53" s="13" t="s">
        <v>59</v>
      </c>
      <c r="B53" s="179" t="s">
        <v>198</v>
      </c>
      <c r="C53" s="219"/>
      <c r="D53" s="219"/>
      <c r="E53" s="108"/>
    </row>
    <row r="54" spans="1:5" s="178" customFormat="1" ht="12" customHeight="1">
      <c r="A54" s="12" t="s">
        <v>60</v>
      </c>
      <c r="B54" s="180" t="s">
        <v>199</v>
      </c>
      <c r="C54" s="170"/>
      <c r="D54" s="170">
        <v>6200000</v>
      </c>
      <c r="E54" s="106">
        <v>2266874</v>
      </c>
    </row>
    <row r="55" spans="1:5" s="178" customFormat="1" ht="12" customHeight="1">
      <c r="A55" s="12" t="s">
        <v>195</v>
      </c>
      <c r="B55" s="180" t="s">
        <v>200</v>
      </c>
      <c r="C55" s="170"/>
      <c r="D55" s="170"/>
      <c r="E55" s="106"/>
    </row>
    <row r="56" spans="1:5" s="178" customFormat="1" ht="12" customHeight="1">
      <c r="A56" s="12" t="s">
        <v>196</v>
      </c>
      <c r="B56" s="180" t="s">
        <v>201</v>
      </c>
      <c r="C56" s="170"/>
      <c r="D56" s="170"/>
      <c r="E56" s="106"/>
    </row>
    <row r="57" spans="1:5" s="178" customFormat="1" ht="12" customHeight="1" thickBot="1">
      <c r="A57" s="14" t="s">
        <v>197</v>
      </c>
      <c r="B57" s="111" t="s">
        <v>202</v>
      </c>
      <c r="C57" s="171"/>
      <c r="D57" s="171"/>
      <c r="E57" s="107"/>
    </row>
    <row r="58" spans="1:5" s="178" customFormat="1" ht="12" customHeight="1" thickBot="1">
      <c r="A58" s="18" t="s">
        <v>119</v>
      </c>
      <c r="B58" s="19" t="s">
        <v>203</v>
      </c>
      <c r="C58" s="166">
        <f>SUM(C59:C61)</f>
        <v>0</v>
      </c>
      <c r="D58" s="166">
        <f>SUM(D59:D61)</f>
        <v>0</v>
      </c>
      <c r="E58" s="102">
        <f>SUM(E59:E61)</f>
        <v>0</v>
      </c>
    </row>
    <row r="59" spans="1:5" s="178" customFormat="1" ht="12" customHeight="1">
      <c r="A59" s="13" t="s">
        <v>61</v>
      </c>
      <c r="B59" s="179" t="s">
        <v>204</v>
      </c>
      <c r="C59" s="168"/>
      <c r="D59" s="168"/>
      <c r="E59" s="104"/>
    </row>
    <row r="60" spans="1:5" s="178" customFormat="1" ht="12" customHeight="1">
      <c r="A60" s="12" t="s">
        <v>62</v>
      </c>
      <c r="B60" s="180" t="s">
        <v>330</v>
      </c>
      <c r="C60" s="167"/>
      <c r="D60" s="167"/>
      <c r="E60" s="103"/>
    </row>
    <row r="61" spans="1:5" s="178" customFormat="1" ht="12" customHeight="1">
      <c r="A61" s="12" t="s">
        <v>207</v>
      </c>
      <c r="B61" s="180" t="s">
        <v>205</v>
      </c>
      <c r="C61" s="167"/>
      <c r="D61" s="167"/>
      <c r="E61" s="103"/>
    </row>
    <row r="62" spans="1:5" s="178" customFormat="1" ht="12" customHeight="1" thickBot="1">
      <c r="A62" s="14" t="s">
        <v>208</v>
      </c>
      <c r="B62" s="111" t="s">
        <v>206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209</v>
      </c>
      <c r="C63" s="166">
        <f>SUM(C64:C66)</f>
        <v>2936000</v>
      </c>
      <c r="D63" s="166">
        <f>SUM(D64:D66)</f>
        <v>2936000</v>
      </c>
      <c r="E63" s="102">
        <f>SUM(E64:E66)</f>
        <v>0</v>
      </c>
    </row>
    <row r="64" spans="1:5" s="178" customFormat="1" ht="12" customHeight="1">
      <c r="A64" s="13" t="s">
        <v>120</v>
      </c>
      <c r="B64" s="179" t="s">
        <v>211</v>
      </c>
      <c r="C64" s="170"/>
      <c r="D64" s="170"/>
      <c r="E64" s="106"/>
    </row>
    <row r="65" spans="1:5" s="178" customFormat="1" ht="12" customHeight="1">
      <c r="A65" s="12" t="s">
        <v>121</v>
      </c>
      <c r="B65" s="180" t="s">
        <v>331</v>
      </c>
      <c r="C65" s="170"/>
      <c r="D65" s="170"/>
      <c r="E65" s="106"/>
    </row>
    <row r="66" spans="1:5" s="178" customFormat="1" ht="12" customHeight="1">
      <c r="A66" s="12" t="s">
        <v>144</v>
      </c>
      <c r="B66" s="180" t="s">
        <v>212</v>
      </c>
      <c r="C66" s="170">
        <v>2936000</v>
      </c>
      <c r="D66" s="170">
        <v>2936000</v>
      </c>
      <c r="E66" s="106"/>
    </row>
    <row r="67" spans="1:5" s="178" customFormat="1" ht="12" customHeight="1" thickBot="1">
      <c r="A67" s="14" t="s">
        <v>210</v>
      </c>
      <c r="B67" s="111" t="s">
        <v>213</v>
      </c>
      <c r="C67" s="170"/>
      <c r="D67" s="170"/>
      <c r="E67" s="106"/>
    </row>
    <row r="68" spans="1:5" s="178" customFormat="1" ht="12" customHeight="1" thickBot="1">
      <c r="A68" s="230" t="s">
        <v>378</v>
      </c>
      <c r="B68" s="19" t="s">
        <v>214</v>
      </c>
      <c r="C68" s="172">
        <f>+C11+C18+C25+C32+C40+C52+C58+C63</f>
        <v>324566123</v>
      </c>
      <c r="D68" s="172">
        <f>+D11+D18+D25+D32+D40+D52+D58+D63</f>
        <v>353599605</v>
      </c>
      <c r="E68" s="208">
        <f>+E11+E18+E25+E32+E40+E52+E58+E63</f>
        <v>363974750</v>
      </c>
    </row>
    <row r="69" spans="1:5" s="178" customFormat="1" ht="12" customHeight="1" thickBot="1">
      <c r="A69" s="220" t="s">
        <v>215</v>
      </c>
      <c r="B69" s="109" t="s">
        <v>216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244</v>
      </c>
      <c r="B70" s="179" t="s">
        <v>217</v>
      </c>
      <c r="C70" s="170"/>
      <c r="D70" s="170"/>
      <c r="E70" s="106"/>
    </row>
    <row r="71" spans="1:5" s="178" customFormat="1" ht="12" customHeight="1">
      <c r="A71" s="12" t="s">
        <v>253</v>
      </c>
      <c r="B71" s="180" t="s">
        <v>218</v>
      </c>
      <c r="C71" s="170"/>
      <c r="D71" s="170"/>
      <c r="E71" s="106"/>
    </row>
    <row r="72" spans="1:5" s="178" customFormat="1" ht="12" customHeight="1" thickBot="1">
      <c r="A72" s="14" t="s">
        <v>254</v>
      </c>
      <c r="B72" s="226" t="s">
        <v>363</v>
      </c>
      <c r="C72" s="170"/>
      <c r="D72" s="170"/>
      <c r="E72" s="106"/>
    </row>
    <row r="73" spans="1:5" s="178" customFormat="1" ht="12" customHeight="1" thickBot="1">
      <c r="A73" s="220" t="s">
        <v>220</v>
      </c>
      <c r="B73" s="109" t="s">
        <v>221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98</v>
      </c>
      <c r="B74" s="305" t="s">
        <v>222</v>
      </c>
      <c r="C74" s="170"/>
      <c r="D74" s="170"/>
      <c r="E74" s="106"/>
    </row>
    <row r="75" spans="1:5" s="178" customFormat="1" ht="12" customHeight="1">
      <c r="A75" s="12" t="s">
        <v>99</v>
      </c>
      <c r="B75" s="305" t="s">
        <v>491</v>
      </c>
      <c r="C75" s="170"/>
      <c r="D75" s="170"/>
      <c r="E75" s="106"/>
    </row>
    <row r="76" spans="1:5" s="178" customFormat="1" ht="12" customHeight="1">
      <c r="A76" s="12" t="s">
        <v>245</v>
      </c>
      <c r="B76" s="305" t="s">
        <v>223</v>
      </c>
      <c r="C76" s="170"/>
      <c r="D76" s="170"/>
      <c r="E76" s="106"/>
    </row>
    <row r="77" spans="1:5" s="178" customFormat="1" ht="12" customHeight="1" thickBot="1">
      <c r="A77" s="14" t="s">
        <v>246</v>
      </c>
      <c r="B77" s="306" t="s">
        <v>492</v>
      </c>
      <c r="C77" s="170"/>
      <c r="D77" s="170"/>
      <c r="E77" s="106"/>
    </row>
    <row r="78" spans="1:5" s="178" customFormat="1" ht="12" customHeight="1" thickBot="1">
      <c r="A78" s="220" t="s">
        <v>224</v>
      </c>
      <c r="B78" s="109" t="s">
        <v>225</v>
      </c>
      <c r="C78" s="166">
        <f>SUM(C79:C80)</f>
        <v>227373457</v>
      </c>
      <c r="D78" s="166">
        <f>SUM(D79:D80)</f>
        <v>217030084</v>
      </c>
      <c r="E78" s="102">
        <f>SUM(E79:E80)</f>
        <v>216338389</v>
      </c>
    </row>
    <row r="79" spans="1:5" s="178" customFormat="1" ht="12" customHeight="1">
      <c r="A79" s="13" t="s">
        <v>247</v>
      </c>
      <c r="B79" s="179" t="s">
        <v>226</v>
      </c>
      <c r="C79" s="170">
        <v>227373457</v>
      </c>
      <c r="D79" s="170">
        <v>217030084</v>
      </c>
      <c r="E79" s="106">
        <v>216338389</v>
      </c>
    </row>
    <row r="80" spans="1:5" s="178" customFormat="1" ht="12" customHeight="1" thickBot="1">
      <c r="A80" s="14" t="s">
        <v>248</v>
      </c>
      <c r="B80" s="111" t="s">
        <v>227</v>
      </c>
      <c r="C80" s="170"/>
      <c r="D80" s="170"/>
      <c r="E80" s="106"/>
    </row>
    <row r="81" spans="1:5" s="178" customFormat="1" ht="12" customHeight="1" thickBot="1">
      <c r="A81" s="220" t="s">
        <v>228</v>
      </c>
      <c r="B81" s="109" t="s">
        <v>229</v>
      </c>
      <c r="C81" s="166">
        <f>SUM(C82:C84)</f>
        <v>0</v>
      </c>
      <c r="D81" s="166">
        <f>SUM(D82:D84)</f>
        <v>0</v>
      </c>
      <c r="E81" s="102">
        <f>SUM(E82:E84)</f>
        <v>9042854</v>
      </c>
    </row>
    <row r="82" spans="1:5" s="178" customFormat="1" ht="12" customHeight="1">
      <c r="A82" s="13" t="s">
        <v>249</v>
      </c>
      <c r="B82" s="179" t="s">
        <v>230</v>
      </c>
      <c r="C82" s="170"/>
      <c r="D82" s="170"/>
      <c r="E82" s="106">
        <v>9042854</v>
      </c>
    </row>
    <row r="83" spans="1:5" s="178" customFormat="1" ht="12" customHeight="1">
      <c r="A83" s="12" t="s">
        <v>250</v>
      </c>
      <c r="B83" s="180" t="s">
        <v>231</v>
      </c>
      <c r="C83" s="170"/>
      <c r="D83" s="170"/>
      <c r="E83" s="106"/>
    </row>
    <row r="84" spans="1:5" s="178" customFormat="1" ht="12" customHeight="1" thickBot="1">
      <c r="A84" s="14" t="s">
        <v>251</v>
      </c>
      <c r="B84" s="111" t="s">
        <v>493</v>
      </c>
      <c r="C84" s="170"/>
      <c r="D84" s="170"/>
      <c r="E84" s="106"/>
    </row>
    <row r="85" spans="1:5" s="178" customFormat="1" ht="12" customHeight="1" thickBot="1">
      <c r="A85" s="220" t="s">
        <v>232</v>
      </c>
      <c r="B85" s="109" t="s">
        <v>252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233</v>
      </c>
      <c r="B86" s="179" t="s">
        <v>234</v>
      </c>
      <c r="C86" s="170"/>
      <c r="D86" s="170"/>
      <c r="E86" s="106"/>
    </row>
    <row r="87" spans="1:5" s="178" customFormat="1" ht="12" customHeight="1">
      <c r="A87" s="184" t="s">
        <v>235</v>
      </c>
      <c r="B87" s="180" t="s">
        <v>236</v>
      </c>
      <c r="C87" s="170"/>
      <c r="D87" s="170"/>
      <c r="E87" s="106"/>
    </row>
    <row r="88" spans="1:5" s="178" customFormat="1" ht="12" customHeight="1">
      <c r="A88" s="184" t="s">
        <v>237</v>
      </c>
      <c r="B88" s="180" t="s">
        <v>238</v>
      </c>
      <c r="C88" s="170"/>
      <c r="D88" s="170"/>
      <c r="E88" s="106"/>
    </row>
    <row r="89" spans="1:5" s="178" customFormat="1" ht="12" customHeight="1" thickBot="1">
      <c r="A89" s="185" t="s">
        <v>239</v>
      </c>
      <c r="B89" s="111" t="s">
        <v>240</v>
      </c>
      <c r="C89" s="170"/>
      <c r="D89" s="170"/>
      <c r="E89" s="106"/>
    </row>
    <row r="90" spans="1:5" s="178" customFormat="1" ht="12" customHeight="1" thickBot="1">
      <c r="A90" s="220" t="s">
        <v>241</v>
      </c>
      <c r="B90" s="109" t="s">
        <v>377</v>
      </c>
      <c r="C90" s="222"/>
      <c r="D90" s="222"/>
      <c r="E90" s="223"/>
    </row>
    <row r="91" spans="1:5" s="178" customFormat="1" ht="13.5" customHeight="1" thickBot="1">
      <c r="A91" s="220" t="s">
        <v>243</v>
      </c>
      <c r="B91" s="109" t="s">
        <v>242</v>
      </c>
      <c r="C91" s="222"/>
      <c r="D91" s="222"/>
      <c r="E91" s="223"/>
    </row>
    <row r="92" spans="1:5" s="178" customFormat="1" ht="15.75" customHeight="1" thickBot="1">
      <c r="A92" s="220" t="s">
        <v>255</v>
      </c>
      <c r="B92" s="186" t="s">
        <v>380</v>
      </c>
      <c r="C92" s="172">
        <f>+C69+C73+C78+C81+C85+C91+C90</f>
        <v>227373457</v>
      </c>
      <c r="D92" s="172">
        <f>+D69+D73+D78+D81+D85+D91+D90</f>
        <v>217030084</v>
      </c>
      <c r="E92" s="208">
        <f>+E69+E73+E78+E81+E85+E91+E90</f>
        <v>225381243</v>
      </c>
    </row>
    <row r="93" spans="1:5" s="178" customFormat="1" ht="25.5" customHeight="1" thickBot="1">
      <c r="A93" s="221" t="s">
        <v>379</v>
      </c>
      <c r="B93" s="187" t="s">
        <v>381</v>
      </c>
      <c r="C93" s="172">
        <f>+C68+C92</f>
        <v>551939580</v>
      </c>
      <c r="D93" s="172">
        <f>+D68+D92</f>
        <v>570629689</v>
      </c>
      <c r="E93" s="208">
        <f>+E68+E92</f>
        <v>589355993</v>
      </c>
    </row>
    <row r="94" spans="1:3" s="178" customFormat="1" ht="15" customHeight="1">
      <c r="A94" s="3"/>
      <c r="B94" s="4"/>
      <c r="C94" s="113"/>
    </row>
    <row r="95" spans="1:5" ht="16.5" customHeight="1">
      <c r="A95" s="811" t="s">
        <v>34</v>
      </c>
      <c r="B95" s="811"/>
      <c r="C95" s="811"/>
      <c r="D95" s="811"/>
      <c r="E95" s="811"/>
    </row>
    <row r="96" spans="1:5" s="188" customFormat="1" ht="16.5" customHeight="1" thickBot="1">
      <c r="A96" s="813" t="s">
        <v>101</v>
      </c>
      <c r="B96" s="813"/>
      <c r="C96" s="60"/>
      <c r="E96" s="60" t="str">
        <f>E7</f>
        <v> Forintban!</v>
      </c>
    </row>
    <row r="97" spans="1:5" ht="15.75">
      <c r="A97" s="820" t="s">
        <v>51</v>
      </c>
      <c r="B97" s="822" t="s">
        <v>421</v>
      </c>
      <c r="C97" s="806" t="str">
        <f>+CONCATENATE(LEFT(Z_ÖSSZEFÜGGÉSEK!A6,4),". évi")</f>
        <v>2020. évi</v>
      </c>
      <c r="D97" s="807"/>
      <c r="E97" s="808"/>
    </row>
    <row r="98" spans="1:5" ht="24.75" thickBot="1">
      <c r="A98" s="821"/>
      <c r="B98" s="823"/>
      <c r="C98" s="247" t="s">
        <v>419</v>
      </c>
      <c r="D98" s="246" t="s">
        <v>420</v>
      </c>
      <c r="E98" s="307" t="str">
        <f>CONCATENATE(E9)</f>
        <v>2020. XII. 31.
teljesítés</v>
      </c>
    </row>
    <row r="99" spans="1:5" s="177" customFormat="1" ht="12" customHeight="1" thickBot="1">
      <c r="A99" s="25" t="s">
        <v>386</v>
      </c>
      <c r="B99" s="26" t="s">
        <v>387</v>
      </c>
      <c r="C99" s="26" t="s">
        <v>388</v>
      </c>
      <c r="D99" s="26" t="s">
        <v>390</v>
      </c>
      <c r="E99" s="258" t="s">
        <v>389</v>
      </c>
    </row>
    <row r="100" spans="1:5" ht="12" customHeight="1" thickBot="1">
      <c r="A100" s="20" t="s">
        <v>6</v>
      </c>
      <c r="B100" s="24" t="s">
        <v>339</v>
      </c>
      <c r="C100" s="165">
        <f>C101+C102+C103+C104+C105+C118</f>
        <v>353514519</v>
      </c>
      <c r="D100" s="165">
        <f>D101+D102+D103+D104+D105+D118</f>
        <v>364470277</v>
      </c>
      <c r="E100" s="233">
        <f>E101+E102+E103+E104+E105+E118</f>
        <v>314562625</v>
      </c>
    </row>
    <row r="101" spans="1:5" ht="12" customHeight="1">
      <c r="A101" s="15" t="s">
        <v>63</v>
      </c>
      <c r="B101" s="8" t="s">
        <v>35</v>
      </c>
      <c r="C101" s="240">
        <v>178439980</v>
      </c>
      <c r="D101" s="240">
        <v>179056962</v>
      </c>
      <c r="E101" s="234">
        <v>163044035</v>
      </c>
    </row>
    <row r="102" spans="1:5" ht="12" customHeight="1">
      <c r="A102" s="12" t="s">
        <v>64</v>
      </c>
      <c r="B102" s="6" t="s">
        <v>122</v>
      </c>
      <c r="C102" s="167">
        <v>27637670</v>
      </c>
      <c r="D102" s="167">
        <v>27384095</v>
      </c>
      <c r="E102" s="103">
        <v>23909479</v>
      </c>
    </row>
    <row r="103" spans="1:5" ht="12" customHeight="1">
      <c r="A103" s="12" t="s">
        <v>65</v>
      </c>
      <c r="B103" s="6" t="s">
        <v>90</v>
      </c>
      <c r="C103" s="169">
        <v>118616013</v>
      </c>
      <c r="D103" s="169">
        <v>127126300</v>
      </c>
      <c r="E103" s="105">
        <v>104353725</v>
      </c>
    </row>
    <row r="104" spans="1:5" ht="12" customHeight="1">
      <c r="A104" s="12" t="s">
        <v>66</v>
      </c>
      <c r="B104" s="9" t="s">
        <v>123</v>
      </c>
      <c r="C104" s="169">
        <v>14600000</v>
      </c>
      <c r="D104" s="169">
        <v>17562350</v>
      </c>
      <c r="E104" s="105">
        <v>13704500</v>
      </c>
    </row>
    <row r="105" spans="1:5" ht="12" customHeight="1">
      <c r="A105" s="12" t="s">
        <v>75</v>
      </c>
      <c r="B105" s="17" t="s">
        <v>124</v>
      </c>
      <c r="C105" s="169">
        <v>5600000</v>
      </c>
      <c r="D105" s="169">
        <v>9555414</v>
      </c>
      <c r="E105" s="105">
        <v>9550886</v>
      </c>
    </row>
    <row r="106" spans="1:5" ht="12" customHeight="1">
      <c r="A106" s="12" t="s">
        <v>67</v>
      </c>
      <c r="B106" s="6" t="s">
        <v>344</v>
      </c>
      <c r="C106" s="169"/>
      <c r="D106" s="169">
        <v>24014</v>
      </c>
      <c r="E106" s="105">
        <v>24014</v>
      </c>
    </row>
    <row r="107" spans="1:5" ht="12" customHeight="1">
      <c r="A107" s="12" t="s">
        <v>68</v>
      </c>
      <c r="B107" s="64" t="s">
        <v>343</v>
      </c>
      <c r="C107" s="169"/>
      <c r="D107" s="169"/>
      <c r="E107" s="105"/>
    </row>
    <row r="108" spans="1:5" ht="12" customHeight="1">
      <c r="A108" s="12" t="s">
        <v>76</v>
      </c>
      <c r="B108" s="64" t="s">
        <v>342</v>
      </c>
      <c r="C108" s="169"/>
      <c r="D108" s="169">
        <v>24014</v>
      </c>
      <c r="E108" s="105">
        <v>24014</v>
      </c>
    </row>
    <row r="109" spans="1:5" ht="12" customHeight="1">
      <c r="A109" s="12" t="s">
        <v>77</v>
      </c>
      <c r="B109" s="62" t="s">
        <v>258</v>
      </c>
      <c r="C109" s="169"/>
      <c r="D109" s="169"/>
      <c r="E109" s="105"/>
    </row>
    <row r="110" spans="1:5" ht="12" customHeight="1">
      <c r="A110" s="12" t="s">
        <v>78</v>
      </c>
      <c r="B110" s="63" t="s">
        <v>259</v>
      </c>
      <c r="C110" s="169"/>
      <c r="D110" s="169"/>
      <c r="E110" s="105"/>
    </row>
    <row r="111" spans="1:5" ht="12" customHeight="1">
      <c r="A111" s="12" t="s">
        <v>79</v>
      </c>
      <c r="B111" s="63" t="s">
        <v>260</v>
      </c>
      <c r="C111" s="169"/>
      <c r="D111" s="169"/>
      <c r="E111" s="105"/>
    </row>
    <row r="112" spans="1:5" ht="12" customHeight="1">
      <c r="A112" s="12" t="s">
        <v>81</v>
      </c>
      <c r="B112" s="62" t="s">
        <v>261</v>
      </c>
      <c r="C112" s="169">
        <v>5600000</v>
      </c>
      <c r="D112" s="169">
        <v>6430000</v>
      </c>
      <c r="E112" s="105">
        <v>6425472</v>
      </c>
    </row>
    <row r="113" spans="1:5" ht="12" customHeight="1">
      <c r="A113" s="12" t="s">
        <v>125</v>
      </c>
      <c r="B113" s="62" t="s">
        <v>262</v>
      </c>
      <c r="C113" s="169"/>
      <c r="D113" s="169"/>
      <c r="E113" s="105"/>
    </row>
    <row r="114" spans="1:5" ht="12" customHeight="1">
      <c r="A114" s="12" t="s">
        <v>256</v>
      </c>
      <c r="B114" s="63" t="s">
        <v>263</v>
      </c>
      <c r="C114" s="169"/>
      <c r="D114" s="169"/>
      <c r="E114" s="105"/>
    </row>
    <row r="115" spans="1:5" ht="12" customHeight="1">
      <c r="A115" s="11" t="s">
        <v>257</v>
      </c>
      <c r="B115" s="64" t="s">
        <v>264</v>
      </c>
      <c r="C115" s="169"/>
      <c r="D115" s="169"/>
      <c r="E115" s="105"/>
    </row>
    <row r="116" spans="1:5" ht="12" customHeight="1">
      <c r="A116" s="12" t="s">
        <v>340</v>
      </c>
      <c r="B116" s="64" t="s">
        <v>265</v>
      </c>
      <c r="C116" s="169"/>
      <c r="D116" s="169"/>
      <c r="E116" s="105"/>
    </row>
    <row r="117" spans="1:5" ht="12" customHeight="1">
      <c r="A117" s="14" t="s">
        <v>341</v>
      </c>
      <c r="B117" s="64" t="s">
        <v>266</v>
      </c>
      <c r="C117" s="169"/>
      <c r="D117" s="169">
        <v>3101400</v>
      </c>
      <c r="E117" s="105">
        <v>3101400</v>
      </c>
    </row>
    <row r="118" spans="1:5" ht="12" customHeight="1">
      <c r="A118" s="12" t="s">
        <v>345</v>
      </c>
      <c r="B118" s="9" t="s">
        <v>36</v>
      </c>
      <c r="C118" s="167">
        <v>8620856</v>
      </c>
      <c r="D118" s="167">
        <v>3785156</v>
      </c>
      <c r="E118" s="103"/>
    </row>
    <row r="119" spans="1:5" ht="12" customHeight="1">
      <c r="A119" s="12" t="s">
        <v>346</v>
      </c>
      <c r="B119" s="6" t="s">
        <v>348</v>
      </c>
      <c r="C119" s="167">
        <v>900856</v>
      </c>
      <c r="D119" s="167"/>
      <c r="E119" s="103"/>
    </row>
    <row r="120" spans="1:5" ht="12" customHeight="1" thickBot="1">
      <c r="A120" s="16" t="s">
        <v>347</v>
      </c>
      <c r="B120" s="229" t="s">
        <v>349</v>
      </c>
      <c r="C120" s="241">
        <v>7720000</v>
      </c>
      <c r="D120" s="241"/>
      <c r="E120" s="235"/>
    </row>
    <row r="121" spans="1:5" ht="12" customHeight="1" thickBot="1">
      <c r="A121" s="227" t="s">
        <v>7</v>
      </c>
      <c r="B121" s="228" t="s">
        <v>267</v>
      </c>
      <c r="C121" s="242">
        <f>+C122+C124+C126</f>
        <v>198425061</v>
      </c>
      <c r="D121" s="166">
        <f>+D122+D124+D126</f>
        <v>206159412</v>
      </c>
      <c r="E121" s="236">
        <f>+E122+E124+E126</f>
        <v>80877946</v>
      </c>
    </row>
    <row r="122" spans="1:5" ht="12" customHeight="1">
      <c r="A122" s="13" t="s">
        <v>69</v>
      </c>
      <c r="B122" s="6" t="s">
        <v>143</v>
      </c>
      <c r="C122" s="168">
        <v>184147849</v>
      </c>
      <c r="D122" s="251">
        <v>191973008</v>
      </c>
      <c r="E122" s="104">
        <v>68300077</v>
      </c>
    </row>
    <row r="123" spans="1:5" ht="12" customHeight="1">
      <c r="A123" s="13" t="s">
        <v>70</v>
      </c>
      <c r="B123" s="10" t="s">
        <v>271</v>
      </c>
      <c r="C123" s="168"/>
      <c r="D123" s="251"/>
      <c r="E123" s="104"/>
    </row>
    <row r="124" spans="1:5" ht="12" customHeight="1">
      <c r="A124" s="13" t="s">
        <v>71</v>
      </c>
      <c r="B124" s="10" t="s">
        <v>126</v>
      </c>
      <c r="C124" s="167">
        <v>14277212</v>
      </c>
      <c r="D124" s="252">
        <v>14186404</v>
      </c>
      <c r="E124" s="103">
        <v>12577869</v>
      </c>
    </row>
    <row r="125" spans="1:5" ht="12" customHeight="1">
      <c r="A125" s="13" t="s">
        <v>72</v>
      </c>
      <c r="B125" s="10" t="s">
        <v>272</v>
      </c>
      <c r="C125" s="167"/>
      <c r="D125" s="252"/>
      <c r="E125" s="103"/>
    </row>
    <row r="126" spans="1:5" ht="12" customHeight="1">
      <c r="A126" s="13" t="s">
        <v>73</v>
      </c>
      <c r="B126" s="111" t="s">
        <v>145</v>
      </c>
      <c r="C126" s="167"/>
      <c r="D126" s="252"/>
      <c r="E126" s="103"/>
    </row>
    <row r="127" spans="1:5" ht="12" customHeight="1">
      <c r="A127" s="13" t="s">
        <v>80</v>
      </c>
      <c r="B127" s="110" t="s">
        <v>332</v>
      </c>
      <c r="C127" s="167"/>
      <c r="D127" s="252"/>
      <c r="E127" s="103"/>
    </row>
    <row r="128" spans="1:5" ht="12" customHeight="1">
      <c r="A128" s="13" t="s">
        <v>82</v>
      </c>
      <c r="B128" s="175" t="s">
        <v>277</v>
      </c>
      <c r="C128" s="167"/>
      <c r="D128" s="252"/>
      <c r="E128" s="103"/>
    </row>
    <row r="129" spans="1:5" ht="15.75">
      <c r="A129" s="13" t="s">
        <v>127</v>
      </c>
      <c r="B129" s="63" t="s">
        <v>260</v>
      </c>
      <c r="C129" s="167"/>
      <c r="D129" s="252"/>
      <c r="E129" s="103"/>
    </row>
    <row r="130" spans="1:5" ht="12" customHeight="1">
      <c r="A130" s="13" t="s">
        <v>128</v>
      </c>
      <c r="B130" s="63" t="s">
        <v>276</v>
      </c>
      <c r="C130" s="167"/>
      <c r="D130" s="252"/>
      <c r="E130" s="103"/>
    </row>
    <row r="131" spans="1:5" ht="12" customHeight="1">
      <c r="A131" s="13" t="s">
        <v>129</v>
      </c>
      <c r="B131" s="63" t="s">
        <v>275</v>
      </c>
      <c r="C131" s="167"/>
      <c r="D131" s="252"/>
      <c r="E131" s="103"/>
    </row>
    <row r="132" spans="1:5" ht="12" customHeight="1">
      <c r="A132" s="13" t="s">
        <v>268</v>
      </c>
      <c r="B132" s="63" t="s">
        <v>263</v>
      </c>
      <c r="C132" s="167"/>
      <c r="D132" s="252"/>
      <c r="E132" s="103"/>
    </row>
    <row r="133" spans="1:5" ht="12" customHeight="1">
      <c r="A133" s="13" t="s">
        <v>269</v>
      </c>
      <c r="B133" s="63" t="s">
        <v>274</v>
      </c>
      <c r="C133" s="167"/>
      <c r="D133" s="252"/>
      <c r="E133" s="103"/>
    </row>
    <row r="134" spans="1:5" ht="16.5" thickBot="1">
      <c r="A134" s="11" t="s">
        <v>270</v>
      </c>
      <c r="B134" s="63" t="s">
        <v>273</v>
      </c>
      <c r="C134" s="169"/>
      <c r="D134" s="253"/>
      <c r="E134" s="105"/>
    </row>
    <row r="135" spans="1:5" ht="12" customHeight="1" thickBot="1">
      <c r="A135" s="18" t="s">
        <v>8</v>
      </c>
      <c r="B135" s="56" t="s">
        <v>350</v>
      </c>
      <c r="C135" s="166">
        <f>+C100+C121</f>
        <v>551939580</v>
      </c>
      <c r="D135" s="250">
        <f>+D100+D121</f>
        <v>570629689</v>
      </c>
      <c r="E135" s="102">
        <f>+E100+E121</f>
        <v>395440571</v>
      </c>
    </row>
    <row r="136" spans="1:5" ht="12" customHeight="1" thickBot="1">
      <c r="A136" s="18" t="s">
        <v>9</v>
      </c>
      <c r="B136" s="56" t="s">
        <v>422</v>
      </c>
      <c r="C136" s="166">
        <f>+C137+C138+C139</f>
        <v>0</v>
      </c>
      <c r="D136" s="250">
        <f>+D137+D138+D139</f>
        <v>0</v>
      </c>
      <c r="E136" s="102">
        <f>+E137+E138+E139</f>
        <v>0</v>
      </c>
    </row>
    <row r="137" spans="1:5" ht="12" customHeight="1">
      <c r="A137" s="13" t="s">
        <v>177</v>
      </c>
      <c r="B137" s="10" t="s">
        <v>358</v>
      </c>
      <c r="C137" s="167"/>
      <c r="D137" s="252"/>
      <c r="E137" s="103"/>
    </row>
    <row r="138" spans="1:5" ht="12" customHeight="1">
      <c r="A138" s="13" t="s">
        <v>178</v>
      </c>
      <c r="B138" s="10" t="s">
        <v>359</v>
      </c>
      <c r="C138" s="167"/>
      <c r="D138" s="252"/>
      <c r="E138" s="103"/>
    </row>
    <row r="139" spans="1:5" ht="12" customHeight="1" thickBot="1">
      <c r="A139" s="11" t="s">
        <v>179</v>
      </c>
      <c r="B139" s="10" t="s">
        <v>360</v>
      </c>
      <c r="C139" s="167"/>
      <c r="D139" s="252"/>
      <c r="E139" s="103"/>
    </row>
    <row r="140" spans="1:5" ht="12" customHeight="1" thickBot="1">
      <c r="A140" s="18" t="s">
        <v>10</v>
      </c>
      <c r="B140" s="56" t="s">
        <v>352</v>
      </c>
      <c r="C140" s="166">
        <f>SUM(C141:C146)</f>
        <v>0</v>
      </c>
      <c r="D140" s="250">
        <f>SUM(D141:D146)</f>
        <v>0</v>
      </c>
      <c r="E140" s="102">
        <f>SUM(E141:E146)</f>
        <v>0</v>
      </c>
    </row>
    <row r="141" spans="1:5" ht="12" customHeight="1">
      <c r="A141" s="13" t="s">
        <v>56</v>
      </c>
      <c r="B141" s="7" t="s">
        <v>361</v>
      </c>
      <c r="C141" s="167"/>
      <c r="D141" s="252"/>
      <c r="E141" s="103"/>
    </row>
    <row r="142" spans="1:5" ht="12" customHeight="1">
      <c r="A142" s="13" t="s">
        <v>57</v>
      </c>
      <c r="B142" s="7" t="s">
        <v>353</v>
      </c>
      <c r="C142" s="167"/>
      <c r="D142" s="252"/>
      <c r="E142" s="103"/>
    </row>
    <row r="143" spans="1:5" ht="12" customHeight="1">
      <c r="A143" s="13" t="s">
        <v>58</v>
      </c>
      <c r="B143" s="7" t="s">
        <v>354</v>
      </c>
      <c r="C143" s="167"/>
      <c r="D143" s="252"/>
      <c r="E143" s="103"/>
    </row>
    <row r="144" spans="1:5" ht="12" customHeight="1">
      <c r="A144" s="13" t="s">
        <v>114</v>
      </c>
      <c r="B144" s="7" t="s">
        <v>355</v>
      </c>
      <c r="C144" s="167"/>
      <c r="D144" s="252"/>
      <c r="E144" s="103"/>
    </row>
    <row r="145" spans="1:5" ht="12" customHeight="1">
      <c r="A145" s="13" t="s">
        <v>115</v>
      </c>
      <c r="B145" s="7" t="s">
        <v>356</v>
      </c>
      <c r="C145" s="167"/>
      <c r="D145" s="252"/>
      <c r="E145" s="103"/>
    </row>
    <row r="146" spans="1:5" ht="12" customHeight="1" thickBot="1">
      <c r="A146" s="16" t="s">
        <v>116</v>
      </c>
      <c r="B146" s="313" t="s">
        <v>357</v>
      </c>
      <c r="C146" s="241"/>
      <c r="D146" s="290"/>
      <c r="E146" s="235"/>
    </row>
    <row r="147" spans="1:5" ht="12" customHeight="1" thickBot="1">
      <c r="A147" s="18" t="s">
        <v>11</v>
      </c>
      <c r="B147" s="56" t="s">
        <v>365</v>
      </c>
      <c r="C147" s="172">
        <f>+C148+C149+C150+C151</f>
        <v>0</v>
      </c>
      <c r="D147" s="254">
        <f>+D148+D149+D150+D151</f>
        <v>0</v>
      </c>
      <c r="E147" s="208">
        <f>+E148+E149+E150+E151</f>
        <v>0</v>
      </c>
    </row>
    <row r="148" spans="1:5" ht="12" customHeight="1">
      <c r="A148" s="13" t="s">
        <v>59</v>
      </c>
      <c r="B148" s="7" t="s">
        <v>278</v>
      </c>
      <c r="C148" s="167"/>
      <c r="D148" s="252"/>
      <c r="E148" s="103"/>
    </row>
    <row r="149" spans="1:5" ht="12" customHeight="1">
      <c r="A149" s="13" t="s">
        <v>60</v>
      </c>
      <c r="B149" s="7" t="s">
        <v>279</v>
      </c>
      <c r="C149" s="167"/>
      <c r="D149" s="252"/>
      <c r="E149" s="103"/>
    </row>
    <row r="150" spans="1:5" ht="12" customHeight="1">
      <c r="A150" s="13" t="s">
        <v>195</v>
      </c>
      <c r="B150" s="7" t="s">
        <v>366</v>
      </c>
      <c r="C150" s="167"/>
      <c r="D150" s="252"/>
      <c r="E150" s="103"/>
    </row>
    <row r="151" spans="1:5" ht="12" customHeight="1" thickBot="1">
      <c r="A151" s="11" t="s">
        <v>196</v>
      </c>
      <c r="B151" s="5" t="s">
        <v>295</v>
      </c>
      <c r="C151" s="167"/>
      <c r="D151" s="252"/>
      <c r="E151" s="103"/>
    </row>
    <row r="152" spans="1:5" ht="12" customHeight="1" thickBot="1">
      <c r="A152" s="18" t="s">
        <v>12</v>
      </c>
      <c r="B152" s="56" t="s">
        <v>367</v>
      </c>
      <c r="C152" s="243">
        <f>SUM(C153:C157)</f>
        <v>0</v>
      </c>
      <c r="D152" s="255">
        <f>SUM(D153:D157)</f>
        <v>0</v>
      </c>
      <c r="E152" s="237">
        <f>SUM(E153:E157)</f>
        <v>0</v>
      </c>
    </row>
    <row r="153" spans="1:5" ht="12" customHeight="1">
      <c r="A153" s="13" t="s">
        <v>61</v>
      </c>
      <c r="B153" s="7" t="s">
        <v>362</v>
      </c>
      <c r="C153" s="167"/>
      <c r="D153" s="252"/>
      <c r="E153" s="103"/>
    </row>
    <row r="154" spans="1:5" ht="12" customHeight="1">
      <c r="A154" s="13" t="s">
        <v>62</v>
      </c>
      <c r="B154" s="7" t="s">
        <v>369</v>
      </c>
      <c r="C154" s="167"/>
      <c r="D154" s="252"/>
      <c r="E154" s="103"/>
    </row>
    <row r="155" spans="1:5" ht="12" customHeight="1">
      <c r="A155" s="13" t="s">
        <v>207</v>
      </c>
      <c r="B155" s="7" t="s">
        <v>364</v>
      </c>
      <c r="C155" s="167"/>
      <c r="D155" s="252"/>
      <c r="E155" s="103"/>
    </row>
    <row r="156" spans="1:5" ht="12" customHeight="1">
      <c r="A156" s="13" t="s">
        <v>208</v>
      </c>
      <c r="B156" s="7" t="s">
        <v>370</v>
      </c>
      <c r="C156" s="167"/>
      <c r="D156" s="252"/>
      <c r="E156" s="103"/>
    </row>
    <row r="157" spans="1:5" ht="12" customHeight="1" thickBot="1">
      <c r="A157" s="13" t="s">
        <v>368</v>
      </c>
      <c r="B157" s="7" t="s">
        <v>371</v>
      </c>
      <c r="C157" s="167"/>
      <c r="D157" s="252"/>
      <c r="E157" s="103"/>
    </row>
    <row r="158" spans="1:5" ht="12" customHeight="1" thickBot="1">
      <c r="A158" s="18" t="s">
        <v>13</v>
      </c>
      <c r="B158" s="56" t="s">
        <v>372</v>
      </c>
      <c r="C158" s="244"/>
      <c r="D158" s="256"/>
      <c r="E158" s="238"/>
    </row>
    <row r="159" spans="1:5" ht="12" customHeight="1" thickBot="1">
      <c r="A159" s="18" t="s">
        <v>14</v>
      </c>
      <c r="B159" s="56" t="s">
        <v>373</v>
      </c>
      <c r="C159" s="244"/>
      <c r="D159" s="256"/>
      <c r="E159" s="238"/>
    </row>
    <row r="160" spans="1:9" ht="15" customHeight="1" thickBot="1">
      <c r="A160" s="18" t="s">
        <v>15</v>
      </c>
      <c r="B160" s="56" t="s">
        <v>375</v>
      </c>
      <c r="C160" s="245">
        <f>+C136+C140+C147+C152+C158+C159</f>
        <v>0</v>
      </c>
      <c r="D160" s="257">
        <f>+D136+D140+D147+D152+D158+D159</f>
        <v>0</v>
      </c>
      <c r="E160" s="239">
        <f>+E136+E140+E147+E152+E158+E159</f>
        <v>0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374</v>
      </c>
      <c r="C161" s="245">
        <f>+C135+C160</f>
        <v>551939580</v>
      </c>
      <c r="D161" s="257">
        <f>+D135+D160</f>
        <v>570629689</v>
      </c>
      <c r="E161" s="239">
        <f>+E135+E160</f>
        <v>395440571</v>
      </c>
    </row>
    <row r="162" spans="3:4" ht="15.75">
      <c r="C162" s="656">
        <f>C93-C161</f>
        <v>0</v>
      </c>
      <c r="D162" s="656">
        <f>D93-D161</f>
        <v>0</v>
      </c>
    </row>
    <row r="163" spans="1:5" ht="15.75">
      <c r="A163" s="809" t="s">
        <v>280</v>
      </c>
      <c r="B163" s="809"/>
      <c r="C163" s="809"/>
      <c r="D163" s="809"/>
      <c r="E163" s="809"/>
    </row>
    <row r="164" spans="1:5" ht="15" customHeight="1" thickBot="1">
      <c r="A164" s="819" t="s">
        <v>102</v>
      </c>
      <c r="B164" s="819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376</v>
      </c>
      <c r="C165" s="249">
        <f>+C68-C135</f>
        <v>-227373457</v>
      </c>
      <c r="D165" s="166">
        <f>+D68-D135</f>
        <v>-217030084</v>
      </c>
      <c r="E165" s="102">
        <f>+E68-E135</f>
        <v>-31465821</v>
      </c>
    </row>
    <row r="166" spans="1:5" ht="32.25" customHeight="1" thickBot="1">
      <c r="A166" s="18" t="s">
        <v>7</v>
      </c>
      <c r="B166" s="23" t="s">
        <v>382</v>
      </c>
      <c r="C166" s="166">
        <f>+C92-C160</f>
        <v>227373457</v>
      </c>
      <c r="D166" s="166">
        <f>+D92-D160</f>
        <v>217030084</v>
      </c>
      <c r="E166" s="102">
        <f>+E92-E160</f>
        <v>225381243</v>
      </c>
    </row>
  </sheetData>
  <sheetProtection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A2" sqref="A2:E2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14"/>
      <c r="B1" s="814" t="str">
        <f>CONCATENATE("3. melléklet ",Z_ALAPADATOK!A7," ",Z_ALAPADATOK!B7," ",Z_ALAPADATOK!C7," ",Z_ALAPADATOK!D7," ",Z_ALAPADATOK!E7," ",Z_ALAPADATOK!F7," ",Z_ALAPADATOK!G7," ",Z_ALAPADATOK!H7)</f>
        <v>3. melléklet a 8 / 2021. ( V.25 ) önkormányzati rendelethez</v>
      </c>
      <c r="C1" s="815"/>
      <c r="D1" s="815"/>
      <c r="E1" s="815"/>
    </row>
    <row r="2" spans="1:5" ht="15.75">
      <c r="A2" s="816" t="str">
        <f>CONCATENATE(Z_ALAPADATOK!A3)</f>
        <v>BEKECS KÖZSÉG Önkormányzata</v>
      </c>
      <c r="B2" s="817"/>
      <c r="C2" s="817"/>
      <c r="D2" s="817"/>
      <c r="E2" s="817"/>
    </row>
    <row r="3" spans="1:5" ht="15.75">
      <c r="A3" s="816" t="str">
        <f>CONCATENATE(Z_ALAPADATOK!B1,". ÉVI ZÁRSZÁMADÁS")</f>
        <v>2020. ÉVI ZÁRSZÁMADÁS</v>
      </c>
      <c r="B3" s="816"/>
      <c r="C3" s="818"/>
      <c r="D3" s="816"/>
      <c r="E3" s="816"/>
    </row>
    <row r="4" spans="1:5" ht="19.5" customHeight="1">
      <c r="A4" s="816" t="s">
        <v>840</v>
      </c>
      <c r="B4" s="816"/>
      <c r="C4" s="818"/>
      <c r="D4" s="816"/>
      <c r="E4" s="816"/>
    </row>
    <row r="5" spans="1:5" ht="15.75">
      <c r="A5" s="314"/>
      <c r="B5" s="314"/>
      <c r="C5" s="315"/>
      <c r="D5" s="316"/>
      <c r="E5" s="316"/>
    </row>
    <row r="6" spans="1:5" ht="15.75" customHeight="1">
      <c r="A6" s="810" t="s">
        <v>3</v>
      </c>
      <c r="B6" s="810"/>
      <c r="C6" s="810"/>
      <c r="D6" s="810"/>
      <c r="E6" s="810"/>
    </row>
    <row r="7" spans="1:5" ht="15.75" customHeight="1" thickBot="1">
      <c r="A7" s="812" t="s">
        <v>100</v>
      </c>
      <c r="B7" s="812"/>
      <c r="C7" s="317"/>
      <c r="D7" s="316"/>
      <c r="E7" s="317" t="str">
        <f>CONCATENATE(2!E7)</f>
        <v> Forintban!</v>
      </c>
    </row>
    <row r="8" spans="1:5" ht="15.75">
      <c r="A8" s="820" t="s">
        <v>51</v>
      </c>
      <c r="B8" s="822" t="s">
        <v>5</v>
      </c>
      <c r="C8" s="806" t="str">
        <f>+CONCATENATE(LEFT(Z_ÖSSZEFÜGGÉSEK!A6,4),". évi")</f>
        <v>2020. évi</v>
      </c>
      <c r="D8" s="807"/>
      <c r="E8" s="808"/>
    </row>
    <row r="9" spans="1:5" ht="24.75" thickBot="1">
      <c r="A9" s="821"/>
      <c r="B9" s="823"/>
      <c r="C9" s="247" t="s">
        <v>419</v>
      </c>
      <c r="D9" s="246" t="s">
        <v>420</v>
      </c>
      <c r="E9" s="307" t="str">
        <f>CONCATENATE(2!E9)</f>
        <v>2020. XII. 31.
teljesítés</v>
      </c>
    </row>
    <row r="10" spans="1:5" s="177" customFormat="1" ht="12" customHeight="1" thickBot="1">
      <c r="A10" s="173" t="s">
        <v>386</v>
      </c>
      <c r="B10" s="174" t="s">
        <v>387</v>
      </c>
      <c r="C10" s="174" t="s">
        <v>388</v>
      </c>
      <c r="D10" s="174" t="s">
        <v>390</v>
      </c>
      <c r="E10" s="248" t="s">
        <v>389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0</v>
      </c>
      <c r="D11" s="166">
        <f>+D12+D13+D14+D15+D16+D17</f>
        <v>0</v>
      </c>
      <c r="E11" s="102">
        <f>+E12+E13+E14+E15+E16+E17</f>
        <v>0</v>
      </c>
    </row>
    <row r="12" spans="1:5" s="178" customFormat="1" ht="12" customHeight="1">
      <c r="A12" s="13" t="s">
        <v>63</v>
      </c>
      <c r="B12" s="179" t="s">
        <v>163</v>
      </c>
      <c r="C12" s="168"/>
      <c r="D12" s="168"/>
      <c r="E12" s="104"/>
    </row>
    <row r="13" spans="1:5" s="178" customFormat="1" ht="12" customHeight="1">
      <c r="A13" s="12" t="s">
        <v>64</v>
      </c>
      <c r="B13" s="180" t="s">
        <v>164</v>
      </c>
      <c r="C13" s="167"/>
      <c r="D13" s="167"/>
      <c r="E13" s="103"/>
    </row>
    <row r="14" spans="1:5" s="178" customFormat="1" ht="12" customHeight="1">
      <c r="A14" s="12" t="s">
        <v>65</v>
      </c>
      <c r="B14" s="180" t="s">
        <v>165</v>
      </c>
      <c r="C14" s="167"/>
      <c r="D14" s="167"/>
      <c r="E14" s="103"/>
    </row>
    <row r="15" spans="1:5" s="178" customFormat="1" ht="12" customHeight="1">
      <c r="A15" s="12" t="s">
        <v>66</v>
      </c>
      <c r="B15" s="180" t="s">
        <v>166</v>
      </c>
      <c r="C15" s="167"/>
      <c r="D15" s="167"/>
      <c r="E15" s="103"/>
    </row>
    <row r="16" spans="1:5" s="178" customFormat="1" ht="12" customHeight="1">
      <c r="A16" s="12" t="s">
        <v>97</v>
      </c>
      <c r="B16" s="110" t="s">
        <v>334</v>
      </c>
      <c r="C16" s="167"/>
      <c r="D16" s="167"/>
      <c r="E16" s="103"/>
    </row>
    <row r="17" spans="1:5" s="178" customFormat="1" ht="12" customHeight="1" thickBot="1">
      <c r="A17" s="14" t="s">
        <v>67</v>
      </c>
      <c r="B17" s="111" t="s">
        <v>335</v>
      </c>
      <c r="C17" s="167"/>
      <c r="D17" s="167"/>
      <c r="E17" s="103"/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0</v>
      </c>
      <c r="D18" s="166">
        <f>+D19+D20+D21+D22+D23</f>
        <v>0</v>
      </c>
      <c r="E18" s="102">
        <f>+E19+E20+E21+E22+E23</f>
        <v>0</v>
      </c>
    </row>
    <row r="19" spans="1:5" s="178" customFormat="1" ht="12" customHeight="1">
      <c r="A19" s="13" t="s">
        <v>69</v>
      </c>
      <c r="B19" s="179" t="s">
        <v>168</v>
      </c>
      <c r="C19" s="168"/>
      <c r="D19" s="168"/>
      <c r="E19" s="104"/>
    </row>
    <row r="20" spans="1:5" s="178" customFormat="1" ht="12" customHeight="1">
      <c r="A20" s="12" t="s">
        <v>70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71</v>
      </c>
      <c r="B21" s="180" t="s">
        <v>326</v>
      </c>
      <c r="C21" s="167"/>
      <c r="D21" s="167"/>
      <c r="E21" s="103"/>
    </row>
    <row r="22" spans="1:5" s="178" customFormat="1" ht="12" customHeight="1">
      <c r="A22" s="12" t="s">
        <v>72</v>
      </c>
      <c r="B22" s="180" t="s">
        <v>327</v>
      </c>
      <c r="C22" s="167"/>
      <c r="D22" s="167"/>
      <c r="E22" s="103"/>
    </row>
    <row r="23" spans="1:5" s="178" customFormat="1" ht="12" customHeight="1">
      <c r="A23" s="12" t="s">
        <v>73</v>
      </c>
      <c r="B23" s="180" t="s">
        <v>170</v>
      </c>
      <c r="C23" s="167"/>
      <c r="D23" s="167"/>
      <c r="E23" s="103"/>
    </row>
    <row r="24" spans="1:5" s="178" customFormat="1" ht="12" customHeight="1" thickBot="1">
      <c r="A24" s="14" t="s">
        <v>80</v>
      </c>
      <c r="B24" s="111" t="s">
        <v>171</v>
      </c>
      <c r="C24" s="169"/>
      <c r="D24" s="169"/>
      <c r="E24" s="105"/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0</v>
      </c>
      <c r="D25" s="166">
        <f>+D26+D27+D28+D29+D30</f>
        <v>0</v>
      </c>
      <c r="E25" s="102">
        <f>+E26+E27+E28+E29+E30</f>
        <v>0</v>
      </c>
    </row>
    <row r="26" spans="1:5" s="178" customFormat="1" ht="12" customHeight="1">
      <c r="A26" s="13" t="s">
        <v>52</v>
      </c>
      <c r="B26" s="179" t="s">
        <v>173</v>
      </c>
      <c r="C26" s="168"/>
      <c r="D26" s="168"/>
      <c r="E26" s="104"/>
    </row>
    <row r="27" spans="1:5" s="178" customFormat="1" ht="12" customHeight="1">
      <c r="A27" s="12" t="s">
        <v>53</v>
      </c>
      <c r="B27" s="180" t="s">
        <v>174</v>
      </c>
      <c r="C27" s="167"/>
      <c r="D27" s="167"/>
      <c r="E27" s="103"/>
    </row>
    <row r="28" spans="1:5" s="178" customFormat="1" ht="12" customHeight="1">
      <c r="A28" s="12" t="s">
        <v>54</v>
      </c>
      <c r="B28" s="180" t="s">
        <v>328</v>
      </c>
      <c r="C28" s="167"/>
      <c r="D28" s="167"/>
      <c r="E28" s="103"/>
    </row>
    <row r="29" spans="1:5" s="178" customFormat="1" ht="12" customHeight="1">
      <c r="A29" s="12" t="s">
        <v>55</v>
      </c>
      <c r="B29" s="180" t="s">
        <v>329</v>
      </c>
      <c r="C29" s="167"/>
      <c r="D29" s="167"/>
      <c r="E29" s="103"/>
    </row>
    <row r="30" spans="1:5" s="178" customFormat="1" ht="12" customHeight="1">
      <c r="A30" s="12" t="s">
        <v>110</v>
      </c>
      <c r="B30" s="180" t="s">
        <v>175</v>
      </c>
      <c r="C30" s="167"/>
      <c r="D30" s="167"/>
      <c r="E30" s="103"/>
    </row>
    <row r="31" spans="1:5" s="178" customFormat="1" ht="12" customHeight="1" thickBot="1">
      <c r="A31" s="14" t="s">
        <v>111</v>
      </c>
      <c r="B31" s="181" t="s">
        <v>176</v>
      </c>
      <c r="C31" s="169"/>
      <c r="D31" s="169"/>
      <c r="E31" s="105"/>
    </row>
    <row r="32" spans="1:5" s="178" customFormat="1" ht="12" customHeight="1" thickBot="1">
      <c r="A32" s="18" t="s">
        <v>112</v>
      </c>
      <c r="B32" s="19" t="s">
        <v>477</v>
      </c>
      <c r="C32" s="172">
        <f>SUM(C33:C39)</f>
        <v>1935000</v>
      </c>
      <c r="D32" s="172">
        <f>SUM(D33:D39)</f>
        <v>1935000</v>
      </c>
      <c r="E32" s="208">
        <f>SUM(E33:E39)</f>
        <v>1180000</v>
      </c>
    </row>
    <row r="33" spans="1:5" s="178" customFormat="1" ht="12" customHeight="1">
      <c r="A33" s="13" t="s">
        <v>177</v>
      </c>
      <c r="B33" s="179" t="str">
        <f>'1 '!B33</f>
        <v>Építményadó</v>
      </c>
      <c r="C33" s="168"/>
      <c r="D33" s="168"/>
      <c r="E33" s="104"/>
    </row>
    <row r="34" spans="1:5" s="178" customFormat="1" ht="12" customHeight="1">
      <c r="A34" s="12" t="s">
        <v>178</v>
      </c>
      <c r="B34" s="179" t="str">
        <f>'1 '!B34</f>
        <v>Idegenforgalmi adó </v>
      </c>
      <c r="C34" s="167"/>
      <c r="D34" s="167"/>
      <c r="E34" s="103"/>
    </row>
    <row r="35" spans="1:5" s="178" customFormat="1" ht="12" customHeight="1">
      <c r="A35" s="12" t="s">
        <v>179</v>
      </c>
      <c r="B35" s="179" t="str">
        <f>'1 '!B35</f>
        <v>Iparűzési adó</v>
      </c>
      <c r="C35" s="167">
        <v>1935000</v>
      </c>
      <c r="D35" s="167">
        <v>1935000</v>
      </c>
      <c r="E35" s="103">
        <v>1180000</v>
      </c>
    </row>
    <row r="36" spans="1:5" s="178" customFormat="1" ht="12" customHeight="1">
      <c r="A36" s="12" t="s">
        <v>180</v>
      </c>
      <c r="B36" s="179" t="str">
        <f>'1 '!B36</f>
        <v>Talajterhelési díj</v>
      </c>
      <c r="C36" s="167"/>
      <c r="D36" s="167"/>
      <c r="E36" s="103"/>
    </row>
    <row r="37" spans="1:5" s="178" customFormat="1" ht="12" customHeight="1">
      <c r="A37" s="12" t="s">
        <v>481</v>
      </c>
      <c r="B37" s="179" t="str">
        <f>'1 '!B37</f>
        <v>Gépjárműadó</v>
      </c>
      <c r="C37" s="167"/>
      <c r="D37" s="167"/>
      <c r="E37" s="103"/>
    </row>
    <row r="38" spans="1:5" s="178" customFormat="1" ht="12" customHeight="1">
      <c r="A38" s="12" t="s">
        <v>482</v>
      </c>
      <c r="B38" s="179" t="str">
        <f>'1 '!B38</f>
        <v>Telekadó</v>
      </c>
      <c r="C38" s="167"/>
      <c r="D38" s="167"/>
      <c r="E38" s="103"/>
    </row>
    <row r="39" spans="1:5" s="178" customFormat="1" ht="12" customHeight="1" thickBot="1">
      <c r="A39" s="14" t="s">
        <v>483</v>
      </c>
      <c r="B39" s="179" t="str">
        <f>'1 '!B39</f>
        <v>Kommunális adó</v>
      </c>
      <c r="C39" s="169"/>
      <c r="D39" s="169"/>
      <c r="E39" s="105"/>
    </row>
    <row r="40" spans="1:5" s="178" customFormat="1" ht="12" customHeight="1" thickBot="1">
      <c r="A40" s="18" t="s">
        <v>10</v>
      </c>
      <c r="B40" s="19" t="s">
        <v>336</v>
      </c>
      <c r="C40" s="166">
        <f>SUM(C41:C51)</f>
        <v>0</v>
      </c>
      <c r="D40" s="166">
        <f>SUM(D41:D51)</f>
        <v>0</v>
      </c>
      <c r="E40" s="102">
        <f>SUM(E41:E51)</f>
        <v>0</v>
      </c>
    </row>
    <row r="41" spans="1:5" s="178" customFormat="1" ht="12" customHeight="1">
      <c r="A41" s="13" t="s">
        <v>56</v>
      </c>
      <c r="B41" s="179" t="s">
        <v>184</v>
      </c>
      <c r="C41" s="168"/>
      <c r="D41" s="168"/>
      <c r="E41" s="104"/>
    </row>
    <row r="42" spans="1:5" s="178" customFormat="1" ht="12" customHeight="1">
      <c r="A42" s="12" t="s">
        <v>57</v>
      </c>
      <c r="B42" s="180" t="s">
        <v>185</v>
      </c>
      <c r="C42" s="167"/>
      <c r="D42" s="167"/>
      <c r="E42" s="103"/>
    </row>
    <row r="43" spans="1:5" s="178" customFormat="1" ht="12" customHeight="1">
      <c r="A43" s="12" t="s">
        <v>58</v>
      </c>
      <c r="B43" s="180" t="s">
        <v>186</v>
      </c>
      <c r="C43" s="167"/>
      <c r="D43" s="167"/>
      <c r="E43" s="103"/>
    </row>
    <row r="44" spans="1:5" s="178" customFormat="1" ht="12" customHeight="1">
      <c r="A44" s="12" t="s">
        <v>114</v>
      </c>
      <c r="B44" s="180" t="s">
        <v>187</v>
      </c>
      <c r="C44" s="167"/>
      <c r="D44" s="167"/>
      <c r="E44" s="103"/>
    </row>
    <row r="45" spans="1:5" s="178" customFormat="1" ht="12" customHeight="1">
      <c r="A45" s="12" t="s">
        <v>115</v>
      </c>
      <c r="B45" s="180" t="s">
        <v>188</v>
      </c>
      <c r="C45" s="167"/>
      <c r="D45" s="167"/>
      <c r="E45" s="103"/>
    </row>
    <row r="46" spans="1:5" s="178" customFormat="1" ht="12" customHeight="1">
      <c r="A46" s="12" t="s">
        <v>116</v>
      </c>
      <c r="B46" s="180" t="s">
        <v>189</v>
      </c>
      <c r="C46" s="167"/>
      <c r="D46" s="167"/>
      <c r="E46" s="103"/>
    </row>
    <row r="47" spans="1:5" s="178" customFormat="1" ht="12" customHeight="1">
      <c r="A47" s="12" t="s">
        <v>117</v>
      </c>
      <c r="B47" s="180" t="s">
        <v>190</v>
      </c>
      <c r="C47" s="167"/>
      <c r="D47" s="167"/>
      <c r="E47" s="103"/>
    </row>
    <row r="48" spans="1:5" s="178" customFormat="1" ht="12" customHeight="1">
      <c r="A48" s="12" t="s">
        <v>118</v>
      </c>
      <c r="B48" s="180" t="s">
        <v>484</v>
      </c>
      <c r="C48" s="167"/>
      <c r="D48" s="167"/>
      <c r="E48" s="103"/>
    </row>
    <row r="49" spans="1:5" s="178" customFormat="1" ht="12" customHeight="1">
      <c r="A49" s="12" t="s">
        <v>182</v>
      </c>
      <c r="B49" s="180" t="s">
        <v>192</v>
      </c>
      <c r="C49" s="170"/>
      <c r="D49" s="170"/>
      <c r="E49" s="106"/>
    </row>
    <row r="50" spans="1:5" s="178" customFormat="1" ht="12" customHeight="1">
      <c r="A50" s="14" t="s">
        <v>183</v>
      </c>
      <c r="B50" s="181" t="s">
        <v>338</v>
      </c>
      <c r="C50" s="171"/>
      <c r="D50" s="171"/>
      <c r="E50" s="107"/>
    </row>
    <row r="51" spans="1:5" s="178" customFormat="1" ht="12" customHeight="1" thickBot="1">
      <c r="A51" s="14" t="s">
        <v>337</v>
      </c>
      <c r="B51" s="111" t="s">
        <v>193</v>
      </c>
      <c r="C51" s="171"/>
      <c r="D51" s="171"/>
      <c r="E51" s="107"/>
    </row>
    <row r="52" spans="1:5" s="178" customFormat="1" ht="12" customHeight="1" thickBot="1">
      <c r="A52" s="18" t="s">
        <v>11</v>
      </c>
      <c r="B52" s="19" t="s">
        <v>194</v>
      </c>
      <c r="C52" s="166">
        <f>SUM(C53:C57)</f>
        <v>0</v>
      </c>
      <c r="D52" s="166">
        <f>SUM(D53:D57)</f>
        <v>0</v>
      </c>
      <c r="E52" s="102">
        <f>SUM(E53:E57)</f>
        <v>0</v>
      </c>
    </row>
    <row r="53" spans="1:5" s="178" customFormat="1" ht="12" customHeight="1">
      <c r="A53" s="13" t="s">
        <v>59</v>
      </c>
      <c r="B53" s="179" t="s">
        <v>198</v>
      </c>
      <c r="C53" s="219"/>
      <c r="D53" s="219"/>
      <c r="E53" s="108"/>
    </row>
    <row r="54" spans="1:5" s="178" customFormat="1" ht="12" customHeight="1">
      <c r="A54" s="12" t="s">
        <v>60</v>
      </c>
      <c r="B54" s="180" t="s">
        <v>199</v>
      </c>
      <c r="C54" s="170"/>
      <c r="D54" s="170"/>
      <c r="E54" s="106"/>
    </row>
    <row r="55" spans="1:5" s="178" customFormat="1" ht="12" customHeight="1">
      <c r="A55" s="12" t="s">
        <v>195</v>
      </c>
      <c r="B55" s="180" t="s">
        <v>200</v>
      </c>
      <c r="C55" s="170"/>
      <c r="D55" s="170"/>
      <c r="E55" s="106"/>
    </row>
    <row r="56" spans="1:5" s="178" customFormat="1" ht="12" customHeight="1">
      <c r="A56" s="12" t="s">
        <v>196</v>
      </c>
      <c r="B56" s="180" t="s">
        <v>201</v>
      </c>
      <c r="C56" s="170"/>
      <c r="D56" s="170"/>
      <c r="E56" s="106"/>
    </row>
    <row r="57" spans="1:5" s="178" customFormat="1" ht="12" customHeight="1" thickBot="1">
      <c r="A57" s="14" t="s">
        <v>197</v>
      </c>
      <c r="B57" s="111" t="s">
        <v>202</v>
      </c>
      <c r="C57" s="171"/>
      <c r="D57" s="171"/>
      <c r="E57" s="107"/>
    </row>
    <row r="58" spans="1:5" s="178" customFormat="1" ht="12" customHeight="1" thickBot="1">
      <c r="A58" s="18" t="s">
        <v>119</v>
      </c>
      <c r="B58" s="19" t="s">
        <v>203</v>
      </c>
      <c r="C58" s="166">
        <f>SUM(C59:C61)</f>
        <v>0</v>
      </c>
      <c r="D58" s="166">
        <f>SUM(D59:D61)</f>
        <v>0</v>
      </c>
      <c r="E58" s="102">
        <f>SUM(E59:E61)</f>
        <v>0</v>
      </c>
    </row>
    <row r="59" spans="1:5" s="178" customFormat="1" ht="12" customHeight="1">
      <c r="A59" s="13" t="s">
        <v>61</v>
      </c>
      <c r="B59" s="179" t="s">
        <v>204</v>
      </c>
      <c r="C59" s="168"/>
      <c r="D59" s="168"/>
      <c r="E59" s="104"/>
    </row>
    <row r="60" spans="1:5" s="178" customFormat="1" ht="12" customHeight="1">
      <c r="A60" s="12" t="s">
        <v>62</v>
      </c>
      <c r="B60" s="180" t="s">
        <v>330</v>
      </c>
      <c r="C60" s="167"/>
      <c r="D60" s="167"/>
      <c r="E60" s="103"/>
    </row>
    <row r="61" spans="1:5" s="178" customFormat="1" ht="12" customHeight="1">
      <c r="A61" s="12" t="s">
        <v>207</v>
      </c>
      <c r="B61" s="180" t="s">
        <v>205</v>
      </c>
      <c r="C61" s="167"/>
      <c r="D61" s="167"/>
      <c r="E61" s="103"/>
    </row>
    <row r="62" spans="1:5" s="178" customFormat="1" ht="12" customHeight="1" thickBot="1">
      <c r="A62" s="14" t="s">
        <v>208</v>
      </c>
      <c r="B62" s="111" t="s">
        <v>206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209</v>
      </c>
      <c r="C63" s="166">
        <f>SUM(C64:C66)</f>
        <v>0</v>
      </c>
      <c r="D63" s="166">
        <f>SUM(D64:D66)</f>
        <v>0</v>
      </c>
      <c r="E63" s="102">
        <f>SUM(E64:E66)</f>
        <v>0</v>
      </c>
    </row>
    <row r="64" spans="1:5" s="178" customFormat="1" ht="12" customHeight="1">
      <c r="A64" s="13" t="s">
        <v>120</v>
      </c>
      <c r="B64" s="179" t="s">
        <v>211</v>
      </c>
      <c r="C64" s="170"/>
      <c r="D64" s="170"/>
      <c r="E64" s="106"/>
    </row>
    <row r="65" spans="1:5" s="178" customFormat="1" ht="12" customHeight="1">
      <c r="A65" s="12" t="s">
        <v>121</v>
      </c>
      <c r="B65" s="180" t="s">
        <v>331</v>
      </c>
      <c r="C65" s="170"/>
      <c r="D65" s="170"/>
      <c r="E65" s="106"/>
    </row>
    <row r="66" spans="1:5" s="178" customFormat="1" ht="12" customHeight="1">
      <c r="A66" s="12" t="s">
        <v>144</v>
      </c>
      <c r="B66" s="180" t="s">
        <v>212</v>
      </c>
      <c r="C66" s="170"/>
      <c r="D66" s="170"/>
      <c r="E66" s="106"/>
    </row>
    <row r="67" spans="1:5" s="178" customFormat="1" ht="12" customHeight="1" thickBot="1">
      <c r="A67" s="14" t="s">
        <v>210</v>
      </c>
      <c r="B67" s="111" t="s">
        <v>213</v>
      </c>
      <c r="C67" s="170"/>
      <c r="D67" s="170"/>
      <c r="E67" s="106"/>
    </row>
    <row r="68" spans="1:5" s="178" customFormat="1" ht="12" customHeight="1" thickBot="1">
      <c r="A68" s="230" t="s">
        <v>378</v>
      </c>
      <c r="B68" s="19" t="s">
        <v>214</v>
      </c>
      <c r="C68" s="172">
        <f>+C11+C18+C25+C32+C40+C52+C58+C63</f>
        <v>1935000</v>
      </c>
      <c r="D68" s="172">
        <f>+D11+D18+D25+D32+D40+D52+D58+D63</f>
        <v>1935000</v>
      </c>
      <c r="E68" s="208">
        <f>+E11+E18+E25+E32+E40+E52+E58+E63</f>
        <v>1180000</v>
      </c>
    </row>
    <row r="69" spans="1:5" s="178" customFormat="1" ht="12" customHeight="1" thickBot="1">
      <c r="A69" s="220" t="s">
        <v>215</v>
      </c>
      <c r="B69" s="109" t="s">
        <v>216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244</v>
      </c>
      <c r="B70" s="179" t="s">
        <v>217</v>
      </c>
      <c r="C70" s="170"/>
      <c r="D70" s="170"/>
      <c r="E70" s="106"/>
    </row>
    <row r="71" spans="1:5" s="178" customFormat="1" ht="12" customHeight="1">
      <c r="A71" s="12" t="s">
        <v>253</v>
      </c>
      <c r="B71" s="180" t="s">
        <v>218</v>
      </c>
      <c r="C71" s="170"/>
      <c r="D71" s="170"/>
      <c r="E71" s="106"/>
    </row>
    <row r="72" spans="1:5" s="178" customFormat="1" ht="12" customHeight="1" thickBot="1">
      <c r="A72" s="14" t="s">
        <v>254</v>
      </c>
      <c r="B72" s="226" t="s">
        <v>363</v>
      </c>
      <c r="C72" s="170"/>
      <c r="D72" s="170"/>
      <c r="E72" s="106"/>
    </row>
    <row r="73" spans="1:5" s="178" customFormat="1" ht="12" customHeight="1" thickBot="1">
      <c r="A73" s="220" t="s">
        <v>220</v>
      </c>
      <c r="B73" s="109" t="s">
        <v>221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98</v>
      </c>
      <c r="B74" s="305" t="s">
        <v>222</v>
      </c>
      <c r="C74" s="170"/>
      <c r="D74" s="170"/>
      <c r="E74" s="106"/>
    </row>
    <row r="75" spans="1:5" s="178" customFormat="1" ht="12" customHeight="1">
      <c r="A75" s="12" t="s">
        <v>99</v>
      </c>
      <c r="B75" s="305" t="s">
        <v>491</v>
      </c>
      <c r="C75" s="170"/>
      <c r="D75" s="170"/>
      <c r="E75" s="106"/>
    </row>
    <row r="76" spans="1:5" s="178" customFormat="1" ht="12" customHeight="1">
      <c r="A76" s="12" t="s">
        <v>245</v>
      </c>
      <c r="B76" s="305" t="s">
        <v>223</v>
      </c>
      <c r="C76" s="170"/>
      <c r="D76" s="170"/>
      <c r="E76" s="106"/>
    </row>
    <row r="77" spans="1:5" s="178" customFormat="1" ht="12" customHeight="1" thickBot="1">
      <c r="A77" s="14" t="s">
        <v>246</v>
      </c>
      <c r="B77" s="306" t="s">
        <v>492</v>
      </c>
      <c r="C77" s="170"/>
      <c r="D77" s="170"/>
      <c r="E77" s="106"/>
    </row>
    <row r="78" spans="1:5" s="178" customFormat="1" ht="12" customHeight="1" thickBot="1">
      <c r="A78" s="220" t="s">
        <v>224</v>
      </c>
      <c r="B78" s="109" t="s">
        <v>225</v>
      </c>
      <c r="C78" s="166">
        <f>SUM(C79:C80)</f>
        <v>0</v>
      </c>
      <c r="D78" s="166">
        <f>SUM(D79:D80)</f>
        <v>0</v>
      </c>
      <c r="E78" s="102">
        <f>SUM(E79:E80)</f>
        <v>0</v>
      </c>
    </row>
    <row r="79" spans="1:5" s="178" customFormat="1" ht="12" customHeight="1">
      <c r="A79" s="13" t="s">
        <v>247</v>
      </c>
      <c r="B79" s="179" t="s">
        <v>226</v>
      </c>
      <c r="C79" s="170"/>
      <c r="D79" s="170"/>
      <c r="E79" s="106"/>
    </row>
    <row r="80" spans="1:5" s="178" customFormat="1" ht="12" customHeight="1" thickBot="1">
      <c r="A80" s="14" t="s">
        <v>248</v>
      </c>
      <c r="B80" s="111" t="s">
        <v>227</v>
      </c>
      <c r="C80" s="170"/>
      <c r="D80" s="170"/>
      <c r="E80" s="106"/>
    </row>
    <row r="81" spans="1:5" s="178" customFormat="1" ht="12" customHeight="1" thickBot="1">
      <c r="A81" s="220" t="s">
        <v>228</v>
      </c>
      <c r="B81" s="109" t="s">
        <v>229</v>
      </c>
      <c r="C81" s="166">
        <f>SUM(C82:C84)</f>
        <v>0</v>
      </c>
      <c r="D81" s="166">
        <f>SUM(D82:D84)</f>
        <v>0</v>
      </c>
      <c r="E81" s="102">
        <f>SUM(E82:E84)</f>
        <v>0</v>
      </c>
    </row>
    <row r="82" spans="1:5" s="178" customFormat="1" ht="12" customHeight="1">
      <c r="A82" s="13" t="s">
        <v>249</v>
      </c>
      <c r="B82" s="179" t="s">
        <v>230</v>
      </c>
      <c r="C82" s="170"/>
      <c r="D82" s="170"/>
      <c r="E82" s="106"/>
    </row>
    <row r="83" spans="1:5" s="178" customFormat="1" ht="12" customHeight="1">
      <c r="A83" s="12" t="s">
        <v>250</v>
      </c>
      <c r="B83" s="180" t="s">
        <v>231</v>
      </c>
      <c r="C83" s="170"/>
      <c r="D83" s="170"/>
      <c r="E83" s="106"/>
    </row>
    <row r="84" spans="1:5" s="178" customFormat="1" ht="12" customHeight="1" thickBot="1">
      <c r="A84" s="14" t="s">
        <v>251</v>
      </c>
      <c r="B84" s="111" t="s">
        <v>493</v>
      </c>
      <c r="C84" s="170"/>
      <c r="D84" s="170"/>
      <c r="E84" s="106"/>
    </row>
    <row r="85" spans="1:5" s="178" customFormat="1" ht="12" customHeight="1" thickBot="1">
      <c r="A85" s="220" t="s">
        <v>232</v>
      </c>
      <c r="B85" s="109" t="s">
        <v>252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233</v>
      </c>
      <c r="B86" s="179" t="s">
        <v>234</v>
      </c>
      <c r="C86" s="170"/>
      <c r="D86" s="170"/>
      <c r="E86" s="106"/>
    </row>
    <row r="87" spans="1:5" s="178" customFormat="1" ht="12" customHeight="1">
      <c r="A87" s="184" t="s">
        <v>235</v>
      </c>
      <c r="B87" s="180" t="s">
        <v>236</v>
      </c>
      <c r="C87" s="170"/>
      <c r="D87" s="170"/>
      <c r="E87" s="106"/>
    </row>
    <row r="88" spans="1:5" s="178" customFormat="1" ht="12" customHeight="1">
      <c r="A88" s="184" t="s">
        <v>237</v>
      </c>
      <c r="B88" s="180" t="s">
        <v>238</v>
      </c>
      <c r="C88" s="170"/>
      <c r="D88" s="170"/>
      <c r="E88" s="106"/>
    </row>
    <row r="89" spans="1:5" s="178" customFormat="1" ht="12" customHeight="1" thickBot="1">
      <c r="A89" s="185" t="s">
        <v>239</v>
      </c>
      <c r="B89" s="111" t="s">
        <v>240</v>
      </c>
      <c r="C89" s="170"/>
      <c r="D89" s="170"/>
      <c r="E89" s="106"/>
    </row>
    <row r="90" spans="1:5" s="178" customFormat="1" ht="12" customHeight="1" thickBot="1">
      <c r="A90" s="220" t="s">
        <v>241</v>
      </c>
      <c r="B90" s="109" t="s">
        <v>377</v>
      </c>
      <c r="C90" s="222"/>
      <c r="D90" s="222"/>
      <c r="E90" s="223"/>
    </row>
    <row r="91" spans="1:5" s="178" customFormat="1" ht="13.5" customHeight="1" thickBot="1">
      <c r="A91" s="220" t="s">
        <v>243</v>
      </c>
      <c r="B91" s="109" t="s">
        <v>242</v>
      </c>
      <c r="C91" s="222"/>
      <c r="D91" s="222"/>
      <c r="E91" s="223"/>
    </row>
    <row r="92" spans="1:5" s="178" customFormat="1" ht="15.75" customHeight="1" thickBot="1">
      <c r="A92" s="220" t="s">
        <v>255</v>
      </c>
      <c r="B92" s="186" t="s">
        <v>380</v>
      </c>
      <c r="C92" s="172">
        <f>+C69+C73+C78+C81+C85+C91+C90</f>
        <v>0</v>
      </c>
      <c r="D92" s="172">
        <f>+D69+D73+D78+D81+D85+D91+D90</f>
        <v>0</v>
      </c>
      <c r="E92" s="208">
        <f>+E69+E73+E78+E81+E85+E91+E90</f>
        <v>0</v>
      </c>
    </row>
    <row r="93" spans="1:5" s="178" customFormat="1" ht="25.5" customHeight="1" thickBot="1">
      <c r="A93" s="221" t="s">
        <v>379</v>
      </c>
      <c r="B93" s="187" t="s">
        <v>381</v>
      </c>
      <c r="C93" s="172">
        <f>+C68+C92</f>
        <v>1935000</v>
      </c>
      <c r="D93" s="172">
        <f>+D68+D92</f>
        <v>1935000</v>
      </c>
      <c r="E93" s="208">
        <f>+E68+E92</f>
        <v>1180000</v>
      </c>
    </row>
    <row r="94" spans="1:3" s="178" customFormat="1" ht="15" customHeight="1">
      <c r="A94" s="3"/>
      <c r="B94" s="4"/>
      <c r="C94" s="113"/>
    </row>
    <row r="95" spans="1:5" ht="16.5" customHeight="1">
      <c r="A95" s="811" t="s">
        <v>34</v>
      </c>
      <c r="B95" s="811"/>
      <c r="C95" s="811"/>
      <c r="D95" s="811"/>
      <c r="E95" s="811"/>
    </row>
    <row r="96" spans="1:5" s="188" customFormat="1" ht="16.5" customHeight="1" thickBot="1">
      <c r="A96" s="813" t="s">
        <v>101</v>
      </c>
      <c r="B96" s="813"/>
      <c r="C96" s="60"/>
      <c r="E96" s="60" t="str">
        <f>E7</f>
        <v> Forintban!</v>
      </c>
    </row>
    <row r="97" spans="1:5" ht="15.75">
      <c r="A97" s="820" t="s">
        <v>51</v>
      </c>
      <c r="B97" s="822" t="s">
        <v>421</v>
      </c>
      <c r="C97" s="806" t="str">
        <f>+CONCATENATE(LEFT(Z_ÖSSZEFÜGGÉSEK!A6,4),". évi")</f>
        <v>2020. évi</v>
      </c>
      <c r="D97" s="807"/>
      <c r="E97" s="808"/>
    </row>
    <row r="98" spans="1:5" ht="24.75" thickBot="1">
      <c r="A98" s="821"/>
      <c r="B98" s="823"/>
      <c r="C98" s="247" t="s">
        <v>419</v>
      </c>
      <c r="D98" s="246" t="s">
        <v>420</v>
      </c>
      <c r="E98" s="307" t="str">
        <f>CONCATENATE(E9)</f>
        <v>2020. XII. 31.
teljesítés</v>
      </c>
    </row>
    <row r="99" spans="1:5" s="177" customFormat="1" ht="12" customHeight="1" thickBot="1">
      <c r="A99" s="25" t="s">
        <v>386</v>
      </c>
      <c r="B99" s="26" t="s">
        <v>387</v>
      </c>
      <c r="C99" s="26" t="s">
        <v>388</v>
      </c>
      <c r="D99" s="26" t="s">
        <v>390</v>
      </c>
      <c r="E99" s="258" t="s">
        <v>389</v>
      </c>
    </row>
    <row r="100" spans="1:5" ht="12" customHeight="1" thickBot="1">
      <c r="A100" s="20" t="s">
        <v>6</v>
      </c>
      <c r="B100" s="24" t="s">
        <v>339</v>
      </c>
      <c r="C100" s="165">
        <f>C101+C102+C103+C104+C105+C118</f>
        <v>1935000</v>
      </c>
      <c r="D100" s="165">
        <f>D101+D102+D103+D104+D105+D118</f>
        <v>1935000</v>
      </c>
      <c r="E100" s="233">
        <f>E101+E102+E103+E104+E105+E118</f>
        <v>1180000</v>
      </c>
    </row>
    <row r="101" spans="1:5" ht="12" customHeight="1">
      <c r="A101" s="15" t="s">
        <v>63</v>
      </c>
      <c r="B101" s="8" t="s">
        <v>35</v>
      </c>
      <c r="C101" s="240"/>
      <c r="D101" s="240"/>
      <c r="E101" s="234"/>
    </row>
    <row r="102" spans="1:5" ht="12" customHeight="1">
      <c r="A102" s="12" t="s">
        <v>64</v>
      </c>
      <c r="B102" s="6" t="s">
        <v>122</v>
      </c>
      <c r="C102" s="167"/>
      <c r="D102" s="167"/>
      <c r="E102" s="103"/>
    </row>
    <row r="103" spans="1:5" ht="12" customHeight="1">
      <c r="A103" s="12" t="s">
        <v>65</v>
      </c>
      <c r="B103" s="6" t="s">
        <v>90</v>
      </c>
      <c r="C103" s="169"/>
      <c r="D103" s="169"/>
      <c r="E103" s="105"/>
    </row>
    <row r="104" spans="1:5" ht="12" customHeight="1">
      <c r="A104" s="12" t="s">
        <v>66</v>
      </c>
      <c r="B104" s="9" t="s">
        <v>123</v>
      </c>
      <c r="C104" s="169"/>
      <c r="D104" s="169"/>
      <c r="E104" s="105"/>
    </row>
    <row r="105" spans="1:5" ht="12" customHeight="1">
      <c r="A105" s="12" t="s">
        <v>75</v>
      </c>
      <c r="B105" s="17" t="s">
        <v>124</v>
      </c>
      <c r="C105" s="169">
        <v>1935000</v>
      </c>
      <c r="D105" s="169">
        <v>1935000</v>
      </c>
      <c r="E105" s="105">
        <v>1180000</v>
      </c>
    </row>
    <row r="106" spans="1:5" ht="12" customHeight="1">
      <c r="A106" s="12" t="s">
        <v>67</v>
      </c>
      <c r="B106" s="6" t="s">
        <v>344</v>
      </c>
      <c r="C106" s="169"/>
      <c r="D106" s="169"/>
      <c r="E106" s="105"/>
    </row>
    <row r="107" spans="1:5" ht="12" customHeight="1">
      <c r="A107" s="12" t="s">
        <v>68</v>
      </c>
      <c r="B107" s="64" t="s">
        <v>343</v>
      </c>
      <c r="C107" s="169"/>
      <c r="D107" s="169"/>
      <c r="E107" s="105"/>
    </row>
    <row r="108" spans="1:5" ht="12" customHeight="1">
      <c r="A108" s="12" t="s">
        <v>76</v>
      </c>
      <c r="B108" s="64" t="s">
        <v>342</v>
      </c>
      <c r="C108" s="169"/>
      <c r="D108" s="169"/>
      <c r="E108" s="105"/>
    </row>
    <row r="109" spans="1:5" ht="12" customHeight="1">
      <c r="A109" s="12" t="s">
        <v>77</v>
      </c>
      <c r="B109" s="62" t="s">
        <v>258</v>
      </c>
      <c r="C109" s="169"/>
      <c r="D109" s="169"/>
      <c r="E109" s="105"/>
    </row>
    <row r="110" spans="1:5" ht="12" customHeight="1">
      <c r="A110" s="12" t="s">
        <v>78</v>
      </c>
      <c r="B110" s="63" t="s">
        <v>259</v>
      </c>
      <c r="C110" s="169"/>
      <c r="D110" s="169"/>
      <c r="E110" s="105"/>
    </row>
    <row r="111" spans="1:5" ht="12" customHeight="1">
      <c r="A111" s="12" t="s">
        <v>79</v>
      </c>
      <c r="B111" s="63" t="s">
        <v>260</v>
      </c>
      <c r="C111" s="169"/>
      <c r="D111" s="169"/>
      <c r="E111" s="105"/>
    </row>
    <row r="112" spans="1:5" ht="12" customHeight="1">
      <c r="A112" s="12" t="s">
        <v>81</v>
      </c>
      <c r="B112" s="62" t="s">
        <v>261</v>
      </c>
      <c r="C112" s="169"/>
      <c r="D112" s="169"/>
      <c r="E112" s="105"/>
    </row>
    <row r="113" spans="1:5" ht="12" customHeight="1">
      <c r="A113" s="12" t="s">
        <v>125</v>
      </c>
      <c r="B113" s="62" t="s">
        <v>262</v>
      </c>
      <c r="C113" s="169"/>
      <c r="D113" s="169"/>
      <c r="E113" s="105"/>
    </row>
    <row r="114" spans="1:5" ht="12" customHeight="1">
      <c r="A114" s="12" t="s">
        <v>256</v>
      </c>
      <c r="B114" s="63" t="s">
        <v>263</v>
      </c>
      <c r="C114" s="169"/>
      <c r="D114" s="169"/>
      <c r="E114" s="105"/>
    </row>
    <row r="115" spans="1:5" ht="12" customHeight="1">
      <c r="A115" s="11" t="s">
        <v>257</v>
      </c>
      <c r="B115" s="64" t="s">
        <v>264</v>
      </c>
      <c r="C115" s="169"/>
      <c r="D115" s="169"/>
      <c r="E115" s="105"/>
    </row>
    <row r="116" spans="1:5" ht="12" customHeight="1">
      <c r="A116" s="12" t="s">
        <v>340</v>
      </c>
      <c r="B116" s="64" t="s">
        <v>265</v>
      </c>
      <c r="C116" s="169"/>
      <c r="D116" s="169"/>
      <c r="E116" s="105"/>
    </row>
    <row r="117" spans="1:5" ht="12" customHeight="1">
      <c r="A117" s="14" t="s">
        <v>341</v>
      </c>
      <c r="B117" s="64" t="s">
        <v>266</v>
      </c>
      <c r="C117" s="169">
        <v>1935000</v>
      </c>
      <c r="D117" s="169">
        <v>1935000</v>
      </c>
      <c r="E117" s="105">
        <v>1180000</v>
      </c>
    </row>
    <row r="118" spans="1:5" ht="12" customHeight="1">
      <c r="A118" s="12" t="s">
        <v>345</v>
      </c>
      <c r="B118" s="9" t="s">
        <v>36</v>
      </c>
      <c r="C118" s="167"/>
      <c r="D118" s="167"/>
      <c r="E118" s="103"/>
    </row>
    <row r="119" spans="1:5" ht="12" customHeight="1">
      <c r="A119" s="12" t="s">
        <v>346</v>
      </c>
      <c r="B119" s="6" t="s">
        <v>348</v>
      </c>
      <c r="C119" s="167"/>
      <c r="D119" s="167"/>
      <c r="E119" s="103"/>
    </row>
    <row r="120" spans="1:5" ht="12" customHeight="1" thickBot="1">
      <c r="A120" s="16" t="s">
        <v>347</v>
      </c>
      <c r="B120" s="229" t="s">
        <v>349</v>
      </c>
      <c r="C120" s="241"/>
      <c r="D120" s="241"/>
      <c r="E120" s="235"/>
    </row>
    <row r="121" spans="1:5" ht="12" customHeight="1" thickBot="1">
      <c r="A121" s="227" t="s">
        <v>7</v>
      </c>
      <c r="B121" s="228" t="s">
        <v>267</v>
      </c>
      <c r="C121" s="242">
        <f>+C122+C124+C126</f>
        <v>0</v>
      </c>
      <c r="D121" s="166">
        <f>+D122+D124+D126</f>
        <v>0</v>
      </c>
      <c r="E121" s="236">
        <f>+E122+E124+E126</f>
        <v>0</v>
      </c>
    </row>
    <row r="122" spans="1:5" ht="12" customHeight="1">
      <c r="A122" s="13" t="s">
        <v>69</v>
      </c>
      <c r="B122" s="6" t="s">
        <v>143</v>
      </c>
      <c r="C122" s="168"/>
      <c r="D122" s="251"/>
      <c r="E122" s="104"/>
    </row>
    <row r="123" spans="1:5" ht="12" customHeight="1">
      <c r="A123" s="13" t="s">
        <v>70</v>
      </c>
      <c r="B123" s="10" t="s">
        <v>271</v>
      </c>
      <c r="C123" s="168"/>
      <c r="D123" s="251"/>
      <c r="E123" s="104"/>
    </row>
    <row r="124" spans="1:5" ht="12" customHeight="1">
      <c r="A124" s="13" t="s">
        <v>71</v>
      </c>
      <c r="B124" s="10" t="s">
        <v>126</v>
      </c>
      <c r="C124" s="167"/>
      <c r="D124" s="252"/>
      <c r="E124" s="103"/>
    </row>
    <row r="125" spans="1:5" ht="12" customHeight="1">
      <c r="A125" s="13" t="s">
        <v>72</v>
      </c>
      <c r="B125" s="10" t="s">
        <v>272</v>
      </c>
      <c r="C125" s="167"/>
      <c r="D125" s="252"/>
      <c r="E125" s="103"/>
    </row>
    <row r="126" spans="1:5" ht="12" customHeight="1">
      <c r="A126" s="13" t="s">
        <v>73</v>
      </c>
      <c r="B126" s="111" t="s">
        <v>145</v>
      </c>
      <c r="C126" s="167"/>
      <c r="D126" s="252"/>
      <c r="E126" s="103"/>
    </row>
    <row r="127" spans="1:5" ht="12" customHeight="1">
      <c r="A127" s="13" t="s">
        <v>80</v>
      </c>
      <c r="B127" s="110" t="s">
        <v>332</v>
      </c>
      <c r="C127" s="167"/>
      <c r="D127" s="252"/>
      <c r="E127" s="103"/>
    </row>
    <row r="128" spans="1:5" ht="12" customHeight="1">
      <c r="A128" s="13" t="s">
        <v>82</v>
      </c>
      <c r="B128" s="175" t="s">
        <v>277</v>
      </c>
      <c r="C128" s="167"/>
      <c r="D128" s="252"/>
      <c r="E128" s="103"/>
    </row>
    <row r="129" spans="1:5" ht="15.75">
      <c r="A129" s="13" t="s">
        <v>127</v>
      </c>
      <c r="B129" s="63" t="s">
        <v>260</v>
      </c>
      <c r="C129" s="167"/>
      <c r="D129" s="252"/>
      <c r="E129" s="103"/>
    </row>
    <row r="130" spans="1:5" ht="12" customHeight="1">
      <c r="A130" s="13" t="s">
        <v>128</v>
      </c>
      <c r="B130" s="63" t="s">
        <v>276</v>
      </c>
      <c r="C130" s="167"/>
      <c r="D130" s="252"/>
      <c r="E130" s="103"/>
    </row>
    <row r="131" spans="1:5" ht="12" customHeight="1">
      <c r="A131" s="13" t="s">
        <v>129</v>
      </c>
      <c r="B131" s="63" t="s">
        <v>275</v>
      </c>
      <c r="C131" s="167"/>
      <c r="D131" s="252"/>
      <c r="E131" s="103"/>
    </row>
    <row r="132" spans="1:5" ht="12" customHeight="1">
      <c r="A132" s="13" t="s">
        <v>268</v>
      </c>
      <c r="B132" s="63" t="s">
        <v>263</v>
      </c>
      <c r="C132" s="167"/>
      <c r="D132" s="252"/>
      <c r="E132" s="103"/>
    </row>
    <row r="133" spans="1:5" ht="12" customHeight="1">
      <c r="A133" s="13" t="s">
        <v>269</v>
      </c>
      <c r="B133" s="63" t="s">
        <v>274</v>
      </c>
      <c r="C133" s="167"/>
      <c r="D133" s="252"/>
      <c r="E133" s="103"/>
    </row>
    <row r="134" spans="1:5" ht="16.5" thickBot="1">
      <c r="A134" s="11" t="s">
        <v>270</v>
      </c>
      <c r="B134" s="63" t="s">
        <v>273</v>
      </c>
      <c r="C134" s="169"/>
      <c r="D134" s="253"/>
      <c r="E134" s="105"/>
    </row>
    <row r="135" spans="1:5" ht="12" customHeight="1" thickBot="1">
      <c r="A135" s="18" t="s">
        <v>8</v>
      </c>
      <c r="B135" s="56" t="s">
        <v>350</v>
      </c>
      <c r="C135" s="166">
        <f>+C100+C121</f>
        <v>1935000</v>
      </c>
      <c r="D135" s="250">
        <f>+D100+D121</f>
        <v>1935000</v>
      </c>
      <c r="E135" s="102">
        <f>+E100+E121</f>
        <v>1180000</v>
      </c>
    </row>
    <row r="136" spans="1:5" ht="12" customHeight="1" thickBot="1">
      <c r="A136" s="18" t="s">
        <v>9</v>
      </c>
      <c r="B136" s="56" t="s">
        <v>422</v>
      </c>
      <c r="C136" s="166">
        <f>+C137+C138+C139</f>
        <v>0</v>
      </c>
      <c r="D136" s="250">
        <f>+D137+D138+D139</f>
        <v>0</v>
      </c>
      <c r="E136" s="102">
        <f>+E137+E138+E139</f>
        <v>0</v>
      </c>
    </row>
    <row r="137" spans="1:5" ht="12" customHeight="1">
      <c r="A137" s="13" t="s">
        <v>177</v>
      </c>
      <c r="B137" s="10" t="s">
        <v>358</v>
      </c>
      <c r="C137" s="167"/>
      <c r="D137" s="252"/>
      <c r="E137" s="103"/>
    </row>
    <row r="138" spans="1:5" ht="12" customHeight="1">
      <c r="A138" s="13" t="s">
        <v>178</v>
      </c>
      <c r="B138" s="10" t="s">
        <v>359</v>
      </c>
      <c r="C138" s="167"/>
      <c r="D138" s="252"/>
      <c r="E138" s="103"/>
    </row>
    <row r="139" spans="1:5" ht="12" customHeight="1" thickBot="1">
      <c r="A139" s="11" t="s">
        <v>179</v>
      </c>
      <c r="B139" s="10" t="s">
        <v>360</v>
      </c>
      <c r="C139" s="167"/>
      <c r="D139" s="252"/>
      <c r="E139" s="103"/>
    </row>
    <row r="140" spans="1:5" ht="12" customHeight="1" thickBot="1">
      <c r="A140" s="18" t="s">
        <v>10</v>
      </c>
      <c r="B140" s="56" t="s">
        <v>352</v>
      </c>
      <c r="C140" s="166">
        <f>SUM(C141:C146)</f>
        <v>0</v>
      </c>
      <c r="D140" s="250">
        <f>SUM(D141:D146)</f>
        <v>0</v>
      </c>
      <c r="E140" s="102">
        <f>SUM(E141:E146)</f>
        <v>0</v>
      </c>
    </row>
    <row r="141" spans="1:5" ht="12" customHeight="1">
      <c r="A141" s="13" t="s">
        <v>56</v>
      </c>
      <c r="B141" s="7" t="s">
        <v>361</v>
      </c>
      <c r="C141" s="167"/>
      <c r="D141" s="252"/>
      <c r="E141" s="103"/>
    </row>
    <row r="142" spans="1:5" ht="12" customHeight="1">
      <c r="A142" s="13" t="s">
        <v>57</v>
      </c>
      <c r="B142" s="7" t="s">
        <v>353</v>
      </c>
      <c r="C142" s="167"/>
      <c r="D142" s="252"/>
      <c r="E142" s="103"/>
    </row>
    <row r="143" spans="1:5" ht="12" customHeight="1">
      <c r="A143" s="13" t="s">
        <v>58</v>
      </c>
      <c r="B143" s="7" t="s">
        <v>354</v>
      </c>
      <c r="C143" s="167"/>
      <c r="D143" s="252"/>
      <c r="E143" s="103"/>
    </row>
    <row r="144" spans="1:5" ht="12" customHeight="1">
      <c r="A144" s="13" t="s">
        <v>114</v>
      </c>
      <c r="B144" s="7" t="s">
        <v>355</v>
      </c>
      <c r="C144" s="167"/>
      <c r="D144" s="252"/>
      <c r="E144" s="103"/>
    </row>
    <row r="145" spans="1:5" ht="12" customHeight="1">
      <c r="A145" s="13" t="s">
        <v>115</v>
      </c>
      <c r="B145" s="7" t="s">
        <v>356</v>
      </c>
      <c r="C145" s="167"/>
      <c r="D145" s="252"/>
      <c r="E145" s="103"/>
    </row>
    <row r="146" spans="1:5" ht="12" customHeight="1" thickBot="1">
      <c r="A146" s="16" t="s">
        <v>116</v>
      </c>
      <c r="B146" s="313" t="s">
        <v>357</v>
      </c>
      <c r="C146" s="241"/>
      <c r="D146" s="290"/>
      <c r="E146" s="235"/>
    </row>
    <row r="147" spans="1:5" ht="12" customHeight="1" thickBot="1">
      <c r="A147" s="18" t="s">
        <v>11</v>
      </c>
      <c r="B147" s="56" t="s">
        <v>365</v>
      </c>
      <c r="C147" s="172">
        <f>+C148+C149+C150+C151</f>
        <v>0</v>
      </c>
      <c r="D147" s="254">
        <f>+D148+D149+D150+D151</f>
        <v>0</v>
      </c>
      <c r="E147" s="208">
        <f>+E148+E149+E150+E151</f>
        <v>0</v>
      </c>
    </row>
    <row r="148" spans="1:5" ht="12" customHeight="1">
      <c r="A148" s="13" t="s">
        <v>59</v>
      </c>
      <c r="B148" s="7" t="s">
        <v>278</v>
      </c>
      <c r="C148" s="167"/>
      <c r="D148" s="252"/>
      <c r="E148" s="103"/>
    </row>
    <row r="149" spans="1:5" ht="12" customHeight="1">
      <c r="A149" s="13" t="s">
        <v>60</v>
      </c>
      <c r="B149" s="7" t="s">
        <v>279</v>
      </c>
      <c r="C149" s="167"/>
      <c r="D149" s="252"/>
      <c r="E149" s="103"/>
    </row>
    <row r="150" spans="1:5" ht="12" customHeight="1">
      <c r="A150" s="13" t="s">
        <v>195</v>
      </c>
      <c r="B150" s="7" t="s">
        <v>366</v>
      </c>
      <c r="C150" s="167"/>
      <c r="D150" s="252"/>
      <c r="E150" s="103"/>
    </row>
    <row r="151" spans="1:5" ht="12" customHeight="1" thickBot="1">
      <c r="A151" s="11" t="s">
        <v>196</v>
      </c>
      <c r="B151" s="5" t="s">
        <v>295</v>
      </c>
      <c r="C151" s="167"/>
      <c r="D151" s="252"/>
      <c r="E151" s="103"/>
    </row>
    <row r="152" spans="1:5" ht="12" customHeight="1" thickBot="1">
      <c r="A152" s="18" t="s">
        <v>12</v>
      </c>
      <c r="B152" s="56" t="s">
        <v>367</v>
      </c>
      <c r="C152" s="243">
        <f>SUM(C153:C157)</f>
        <v>0</v>
      </c>
      <c r="D152" s="255">
        <f>SUM(D153:D157)</f>
        <v>0</v>
      </c>
      <c r="E152" s="237">
        <f>SUM(E153:E157)</f>
        <v>0</v>
      </c>
    </row>
    <row r="153" spans="1:5" ht="12" customHeight="1">
      <c r="A153" s="13" t="s">
        <v>61</v>
      </c>
      <c r="B153" s="7" t="s">
        <v>362</v>
      </c>
      <c r="C153" s="167"/>
      <c r="D153" s="252"/>
      <c r="E153" s="103"/>
    </row>
    <row r="154" spans="1:5" ht="12" customHeight="1">
      <c r="A154" s="13" t="s">
        <v>62</v>
      </c>
      <c r="B154" s="7" t="s">
        <v>369</v>
      </c>
      <c r="C154" s="167"/>
      <c r="D154" s="252"/>
      <c r="E154" s="103"/>
    </row>
    <row r="155" spans="1:5" ht="12" customHeight="1">
      <c r="A155" s="13" t="s">
        <v>207</v>
      </c>
      <c r="B155" s="7" t="s">
        <v>364</v>
      </c>
      <c r="C155" s="167"/>
      <c r="D155" s="252"/>
      <c r="E155" s="103"/>
    </row>
    <row r="156" spans="1:5" ht="12" customHeight="1">
      <c r="A156" s="13" t="s">
        <v>208</v>
      </c>
      <c r="B156" s="7" t="s">
        <v>370</v>
      </c>
      <c r="C156" s="167"/>
      <c r="D156" s="252"/>
      <c r="E156" s="103"/>
    </row>
    <row r="157" spans="1:5" ht="12" customHeight="1" thickBot="1">
      <c r="A157" s="13" t="s">
        <v>368</v>
      </c>
      <c r="B157" s="7" t="s">
        <v>371</v>
      </c>
      <c r="C157" s="167"/>
      <c r="D157" s="252"/>
      <c r="E157" s="103"/>
    </row>
    <row r="158" spans="1:5" ht="12" customHeight="1" thickBot="1">
      <c r="A158" s="18" t="s">
        <v>13</v>
      </c>
      <c r="B158" s="56" t="s">
        <v>372</v>
      </c>
      <c r="C158" s="244"/>
      <c r="D158" s="256"/>
      <c r="E158" s="238"/>
    </row>
    <row r="159" spans="1:5" ht="12" customHeight="1" thickBot="1">
      <c r="A159" s="18" t="s">
        <v>14</v>
      </c>
      <c r="B159" s="56" t="s">
        <v>373</v>
      </c>
      <c r="C159" s="244"/>
      <c r="D159" s="256"/>
      <c r="E159" s="238"/>
    </row>
    <row r="160" spans="1:9" ht="15" customHeight="1" thickBot="1">
      <c r="A160" s="18" t="s">
        <v>15</v>
      </c>
      <c r="B160" s="56" t="s">
        <v>375</v>
      </c>
      <c r="C160" s="245">
        <f>+C136+C140+C147+C152+C158+C159</f>
        <v>0</v>
      </c>
      <c r="D160" s="257">
        <f>+D136+D140+D147+D152+D158+D159</f>
        <v>0</v>
      </c>
      <c r="E160" s="239">
        <f>+E136+E140+E147+E152+E158+E159</f>
        <v>0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374</v>
      </c>
      <c r="C161" s="245">
        <f>+C135+C160</f>
        <v>1935000</v>
      </c>
      <c r="D161" s="257">
        <f>+D135+D160</f>
        <v>1935000</v>
      </c>
      <c r="E161" s="239">
        <f>+E135+E160</f>
        <v>1180000</v>
      </c>
    </row>
    <row r="162" spans="3:4" ht="15.75">
      <c r="C162" s="656">
        <f>C93-C161</f>
        <v>0</v>
      </c>
      <c r="D162" s="656">
        <f>D93-D161</f>
        <v>0</v>
      </c>
    </row>
    <row r="163" spans="1:5" ht="15.75">
      <c r="A163" s="809" t="s">
        <v>280</v>
      </c>
      <c r="B163" s="809"/>
      <c r="C163" s="809"/>
      <c r="D163" s="809"/>
      <c r="E163" s="809"/>
    </row>
    <row r="164" spans="1:5" ht="15" customHeight="1" thickBot="1">
      <c r="A164" s="819" t="s">
        <v>102</v>
      </c>
      <c r="B164" s="819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376</v>
      </c>
      <c r="C165" s="249">
        <f>+C68-C135</f>
        <v>0</v>
      </c>
      <c r="D165" s="166">
        <f>+D68-D135</f>
        <v>0</v>
      </c>
      <c r="E165" s="102">
        <f>+E68-E135</f>
        <v>0</v>
      </c>
    </row>
    <row r="166" spans="1:5" ht="32.25" customHeight="1" thickBot="1">
      <c r="A166" s="18" t="s">
        <v>7</v>
      </c>
      <c r="B166" s="23" t="s">
        <v>382</v>
      </c>
      <c r="C166" s="166">
        <f>+C92-C160</f>
        <v>0</v>
      </c>
      <c r="D166" s="166">
        <f>+D92-D160</f>
        <v>0</v>
      </c>
      <c r="E166" s="102">
        <f>+E92-E160</f>
        <v>0</v>
      </c>
    </row>
  </sheetData>
  <sheetProtection sheet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I10" sqref="I10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14"/>
      <c r="B1" s="814" t="str">
        <f>CONCATENATE("4. melléklet ",Z_ALAPADATOK!A7," ",Z_ALAPADATOK!B7," ",Z_ALAPADATOK!C7," ",Z_ALAPADATOK!D7," ",Z_ALAPADATOK!E7," ",Z_ALAPADATOK!F7," ",Z_ALAPADATOK!G7," ",Z_ALAPADATOK!H7)</f>
        <v>4. melléklet a 8 / 2021. ( V.25 ) önkormányzati rendelethez</v>
      </c>
      <c r="C1" s="815"/>
      <c r="D1" s="815"/>
      <c r="E1" s="815"/>
    </row>
    <row r="2" spans="1:5" ht="15.75">
      <c r="A2" s="816" t="str">
        <f>CONCATENATE(Z_ALAPADATOK!A3)</f>
        <v>BEKECS KÖZSÉG Önkormányzata</v>
      </c>
      <c r="B2" s="817"/>
      <c r="C2" s="817"/>
      <c r="D2" s="817"/>
      <c r="E2" s="817"/>
    </row>
    <row r="3" spans="1:5" ht="15.75">
      <c r="A3" s="802" t="str">
        <f>CONCATENATE(Z_ALAPADATOK!B1,". ÉVI ZÁRSZÁMADÁS")</f>
        <v>2020. ÉVI ZÁRSZÁMADÁS</v>
      </c>
      <c r="B3" s="802"/>
      <c r="C3" s="802"/>
      <c r="D3" s="802"/>
      <c r="E3" s="802"/>
    </row>
    <row r="4" spans="1:5" ht="17.25" customHeight="1">
      <c r="A4" s="802" t="s">
        <v>841</v>
      </c>
      <c r="B4" s="802"/>
      <c r="C4" s="802"/>
      <c r="D4" s="802"/>
      <c r="E4" s="802"/>
    </row>
    <row r="5" spans="1:5" ht="15.75">
      <c r="A5" s="314"/>
      <c r="B5" s="314"/>
      <c r="C5" s="315"/>
      <c r="D5" s="316"/>
      <c r="E5" s="316"/>
    </row>
    <row r="6" spans="1:5" ht="15.75" customHeight="1">
      <c r="A6" s="810" t="s">
        <v>3</v>
      </c>
      <c r="B6" s="810"/>
      <c r="C6" s="810"/>
      <c r="D6" s="810"/>
      <c r="E6" s="810"/>
    </row>
    <row r="7" spans="1:5" ht="15.75" customHeight="1" thickBot="1">
      <c r="A7" s="812" t="s">
        <v>100</v>
      </c>
      <c r="B7" s="812"/>
      <c r="C7" s="317"/>
      <c r="D7" s="316"/>
      <c r="E7" s="317" t="str">
        <f>CONCATENATE(3!E7)</f>
        <v> Forintban!</v>
      </c>
    </row>
    <row r="8" spans="1:5" ht="15.75">
      <c r="A8" s="820" t="s">
        <v>51</v>
      </c>
      <c r="B8" s="822" t="s">
        <v>5</v>
      </c>
      <c r="C8" s="806" t="str">
        <f>+CONCATENATE(LEFT(Z_ÖSSZEFÜGGÉSEK!A6,4),". évi")</f>
        <v>2020. évi</v>
      </c>
      <c r="D8" s="807"/>
      <c r="E8" s="808"/>
    </row>
    <row r="9" spans="1:5" ht="24.75" thickBot="1">
      <c r="A9" s="821"/>
      <c r="B9" s="823"/>
      <c r="C9" s="247" t="s">
        <v>419</v>
      </c>
      <c r="D9" s="246" t="s">
        <v>420</v>
      </c>
      <c r="E9" s="307" t="str">
        <f>CONCATENATE(3!E9)</f>
        <v>2020. XII. 31.
teljesítés</v>
      </c>
    </row>
    <row r="10" spans="1:5" s="177" customFormat="1" ht="12" customHeight="1" thickBot="1">
      <c r="A10" s="173" t="s">
        <v>386</v>
      </c>
      <c r="B10" s="174" t="s">
        <v>387</v>
      </c>
      <c r="C10" s="174" t="s">
        <v>388</v>
      </c>
      <c r="D10" s="174" t="s">
        <v>390</v>
      </c>
      <c r="E10" s="248" t="s">
        <v>389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50059400</v>
      </c>
      <c r="D11" s="166">
        <f>+D12+D13+D14+D15+D16+D17</f>
        <v>64260819</v>
      </c>
      <c r="E11" s="102">
        <f>+E12+E13+E14+E15+E16+E17</f>
        <v>50059400</v>
      </c>
    </row>
    <row r="12" spans="1:5" s="178" customFormat="1" ht="12" customHeight="1">
      <c r="A12" s="13" t="s">
        <v>63</v>
      </c>
      <c r="B12" s="179" t="s">
        <v>163</v>
      </c>
      <c r="C12" s="168">
        <v>50059400</v>
      </c>
      <c r="D12" s="168">
        <v>64260819</v>
      </c>
      <c r="E12" s="104">
        <v>50059400</v>
      </c>
    </row>
    <row r="13" spans="1:5" s="178" customFormat="1" ht="12" customHeight="1">
      <c r="A13" s="12" t="s">
        <v>64</v>
      </c>
      <c r="B13" s="180" t="s">
        <v>164</v>
      </c>
      <c r="C13" s="167"/>
      <c r="D13" s="167"/>
      <c r="E13" s="103"/>
    </row>
    <row r="14" spans="1:5" s="178" customFormat="1" ht="12" customHeight="1">
      <c r="A14" s="12" t="s">
        <v>65</v>
      </c>
      <c r="B14" s="180" t="s">
        <v>165</v>
      </c>
      <c r="C14" s="167"/>
      <c r="D14" s="167"/>
      <c r="E14" s="103"/>
    </row>
    <row r="15" spans="1:5" s="178" customFormat="1" ht="12" customHeight="1">
      <c r="A15" s="12" t="s">
        <v>66</v>
      </c>
      <c r="B15" s="180" t="s">
        <v>166</v>
      </c>
      <c r="C15" s="167"/>
      <c r="D15" s="167"/>
      <c r="E15" s="103"/>
    </row>
    <row r="16" spans="1:5" s="178" customFormat="1" ht="12" customHeight="1">
      <c r="A16" s="12" t="s">
        <v>97</v>
      </c>
      <c r="B16" s="110" t="s">
        <v>334</v>
      </c>
      <c r="C16" s="167"/>
      <c r="D16" s="167"/>
      <c r="E16" s="103"/>
    </row>
    <row r="17" spans="1:5" s="178" customFormat="1" ht="12" customHeight="1" thickBot="1">
      <c r="A17" s="14" t="s">
        <v>67</v>
      </c>
      <c r="B17" s="111" t="s">
        <v>335</v>
      </c>
      <c r="C17" s="167"/>
      <c r="D17" s="167"/>
      <c r="E17" s="103"/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15134862</v>
      </c>
      <c r="D18" s="166">
        <f>+D19+D20+D21+D22+D23</f>
        <v>3060295</v>
      </c>
      <c r="E18" s="102">
        <f>+E19+E20+E21+E22+E23</f>
        <v>1273524</v>
      </c>
    </row>
    <row r="19" spans="1:5" s="178" customFormat="1" ht="12" customHeight="1">
      <c r="A19" s="13" t="s">
        <v>69</v>
      </c>
      <c r="B19" s="179" t="s">
        <v>168</v>
      </c>
      <c r="C19" s="168"/>
      <c r="D19" s="168"/>
      <c r="E19" s="104"/>
    </row>
    <row r="20" spans="1:5" s="178" customFormat="1" ht="12" customHeight="1">
      <c r="A20" s="12" t="s">
        <v>70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71</v>
      </c>
      <c r="B21" s="180" t="s">
        <v>326</v>
      </c>
      <c r="C21" s="167"/>
      <c r="D21" s="167"/>
      <c r="E21" s="103"/>
    </row>
    <row r="22" spans="1:5" s="178" customFormat="1" ht="12" customHeight="1">
      <c r="A22" s="12" t="s">
        <v>72</v>
      </c>
      <c r="B22" s="180" t="s">
        <v>327</v>
      </c>
      <c r="C22" s="167"/>
      <c r="D22" s="167"/>
      <c r="E22" s="103"/>
    </row>
    <row r="23" spans="1:5" s="178" customFormat="1" ht="12" customHeight="1">
      <c r="A23" s="12" t="s">
        <v>73</v>
      </c>
      <c r="B23" s="180" t="s">
        <v>170</v>
      </c>
      <c r="C23" s="167">
        <v>15134862</v>
      </c>
      <c r="D23" s="167">
        <v>3060295</v>
      </c>
      <c r="E23" s="103">
        <v>1273524</v>
      </c>
    </row>
    <row r="24" spans="1:5" s="178" customFormat="1" ht="12" customHeight="1" thickBot="1">
      <c r="A24" s="14" t="s">
        <v>80</v>
      </c>
      <c r="B24" s="111" t="s">
        <v>171</v>
      </c>
      <c r="C24" s="169"/>
      <c r="D24" s="169"/>
      <c r="E24" s="105"/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0</v>
      </c>
      <c r="D25" s="166">
        <f>+D26+D27+D28+D29+D30</f>
        <v>0</v>
      </c>
      <c r="E25" s="102">
        <f>+E26+E27+E28+E29+E30</f>
        <v>0</v>
      </c>
    </row>
    <row r="26" spans="1:5" s="178" customFormat="1" ht="12" customHeight="1">
      <c r="A26" s="13" t="s">
        <v>52</v>
      </c>
      <c r="B26" s="179" t="s">
        <v>173</v>
      </c>
      <c r="C26" s="168"/>
      <c r="D26" s="168"/>
      <c r="E26" s="104"/>
    </row>
    <row r="27" spans="1:5" s="178" customFormat="1" ht="12" customHeight="1">
      <c r="A27" s="12" t="s">
        <v>53</v>
      </c>
      <c r="B27" s="180" t="s">
        <v>174</v>
      </c>
      <c r="C27" s="167"/>
      <c r="D27" s="167"/>
      <c r="E27" s="103"/>
    </row>
    <row r="28" spans="1:5" s="178" customFormat="1" ht="12" customHeight="1">
      <c r="A28" s="12" t="s">
        <v>54</v>
      </c>
      <c r="B28" s="180" t="s">
        <v>328</v>
      </c>
      <c r="C28" s="167"/>
      <c r="D28" s="167"/>
      <c r="E28" s="103"/>
    </row>
    <row r="29" spans="1:5" s="178" customFormat="1" ht="12" customHeight="1">
      <c r="A29" s="12" t="s">
        <v>55</v>
      </c>
      <c r="B29" s="180" t="s">
        <v>329</v>
      </c>
      <c r="C29" s="167"/>
      <c r="D29" s="167"/>
      <c r="E29" s="103"/>
    </row>
    <row r="30" spans="1:5" s="178" customFormat="1" ht="12" customHeight="1">
      <c r="A30" s="12" t="s">
        <v>110</v>
      </c>
      <c r="B30" s="180" t="s">
        <v>175</v>
      </c>
      <c r="C30" s="167"/>
      <c r="D30" s="167"/>
      <c r="E30" s="103"/>
    </row>
    <row r="31" spans="1:5" s="178" customFormat="1" ht="12" customHeight="1" thickBot="1">
      <c r="A31" s="14" t="s">
        <v>111</v>
      </c>
      <c r="B31" s="181" t="s">
        <v>176</v>
      </c>
      <c r="C31" s="169"/>
      <c r="D31" s="169"/>
      <c r="E31" s="105"/>
    </row>
    <row r="32" spans="1:5" s="178" customFormat="1" ht="12" customHeight="1" thickBot="1">
      <c r="A32" s="18" t="s">
        <v>112</v>
      </c>
      <c r="B32" s="19" t="s">
        <v>477</v>
      </c>
      <c r="C32" s="172">
        <f>SUM(C33:C39)</f>
        <v>0</v>
      </c>
      <c r="D32" s="172">
        <f>SUM(D33:D39)</f>
        <v>0</v>
      </c>
      <c r="E32" s="208">
        <f>SUM(E33:E39)</f>
        <v>0</v>
      </c>
    </row>
    <row r="33" spans="1:5" s="178" customFormat="1" ht="12" customHeight="1">
      <c r="A33" s="13" t="s">
        <v>177</v>
      </c>
      <c r="B33" s="179" t="str">
        <f>'1 '!B33</f>
        <v>Építményadó</v>
      </c>
      <c r="C33" s="168"/>
      <c r="D33" s="168"/>
      <c r="E33" s="104"/>
    </row>
    <row r="34" spans="1:5" s="178" customFormat="1" ht="12" customHeight="1">
      <c r="A34" s="12" t="s">
        <v>178</v>
      </c>
      <c r="B34" s="179" t="str">
        <f>'1 '!B34</f>
        <v>Idegenforgalmi adó </v>
      </c>
      <c r="C34" s="167"/>
      <c r="D34" s="167"/>
      <c r="E34" s="103"/>
    </row>
    <row r="35" spans="1:5" s="178" customFormat="1" ht="12" customHeight="1">
      <c r="A35" s="12" t="s">
        <v>179</v>
      </c>
      <c r="B35" s="179" t="str">
        <f>'1 '!B35</f>
        <v>Iparűzési adó</v>
      </c>
      <c r="C35" s="167"/>
      <c r="D35" s="167"/>
      <c r="E35" s="103"/>
    </row>
    <row r="36" spans="1:5" s="178" customFormat="1" ht="12" customHeight="1">
      <c r="A36" s="12" t="s">
        <v>180</v>
      </c>
      <c r="B36" s="179" t="str">
        <f>'1 '!B36</f>
        <v>Talajterhelési díj</v>
      </c>
      <c r="C36" s="167"/>
      <c r="D36" s="167"/>
      <c r="E36" s="103"/>
    </row>
    <row r="37" spans="1:5" s="178" customFormat="1" ht="12" customHeight="1">
      <c r="A37" s="12" t="s">
        <v>481</v>
      </c>
      <c r="B37" s="179" t="str">
        <f>'1 '!B37</f>
        <v>Gépjárműadó</v>
      </c>
      <c r="C37" s="167"/>
      <c r="D37" s="167"/>
      <c r="E37" s="103"/>
    </row>
    <row r="38" spans="1:5" s="178" customFormat="1" ht="12" customHeight="1">
      <c r="A38" s="12" t="s">
        <v>482</v>
      </c>
      <c r="B38" s="179" t="str">
        <f>'1 '!B38</f>
        <v>Telekadó</v>
      </c>
      <c r="C38" s="167"/>
      <c r="D38" s="167"/>
      <c r="E38" s="103"/>
    </row>
    <row r="39" spans="1:5" s="178" customFormat="1" ht="12" customHeight="1" thickBot="1">
      <c r="A39" s="14" t="s">
        <v>483</v>
      </c>
      <c r="B39" s="179" t="str">
        <f>'1 '!B39</f>
        <v>Kommunális adó</v>
      </c>
      <c r="C39" s="169"/>
      <c r="D39" s="169"/>
      <c r="E39" s="105"/>
    </row>
    <row r="40" spans="1:5" s="178" customFormat="1" ht="12" customHeight="1" thickBot="1">
      <c r="A40" s="18" t="s">
        <v>10</v>
      </c>
      <c r="B40" s="19" t="s">
        <v>336</v>
      </c>
      <c r="C40" s="166">
        <f>SUM(C41:C51)</f>
        <v>0</v>
      </c>
      <c r="D40" s="166">
        <f>SUM(D41:D51)</f>
        <v>0</v>
      </c>
      <c r="E40" s="102">
        <f>SUM(E41:E51)</f>
        <v>119491</v>
      </c>
    </row>
    <row r="41" spans="1:5" s="178" customFormat="1" ht="12" customHeight="1">
      <c r="A41" s="13" t="s">
        <v>56</v>
      </c>
      <c r="B41" s="179" t="s">
        <v>184</v>
      </c>
      <c r="C41" s="168"/>
      <c r="D41" s="168"/>
      <c r="E41" s="104"/>
    </row>
    <row r="42" spans="1:5" s="178" customFormat="1" ht="12" customHeight="1">
      <c r="A42" s="12" t="s">
        <v>57</v>
      </c>
      <c r="B42" s="180" t="s">
        <v>185</v>
      </c>
      <c r="C42" s="167"/>
      <c r="D42" s="167"/>
      <c r="E42" s="103">
        <v>105980</v>
      </c>
    </row>
    <row r="43" spans="1:5" s="178" customFormat="1" ht="12" customHeight="1">
      <c r="A43" s="12" t="s">
        <v>58</v>
      </c>
      <c r="B43" s="180" t="s">
        <v>186</v>
      </c>
      <c r="C43" s="167"/>
      <c r="D43" s="167"/>
      <c r="E43" s="103"/>
    </row>
    <row r="44" spans="1:5" s="178" customFormat="1" ht="12" customHeight="1">
      <c r="A44" s="12" t="s">
        <v>114</v>
      </c>
      <c r="B44" s="180" t="s">
        <v>187</v>
      </c>
      <c r="C44" s="167"/>
      <c r="D44" s="167"/>
      <c r="E44" s="103"/>
    </row>
    <row r="45" spans="1:5" s="178" customFormat="1" ht="12" customHeight="1">
      <c r="A45" s="12" t="s">
        <v>115</v>
      </c>
      <c r="B45" s="180" t="s">
        <v>188</v>
      </c>
      <c r="C45" s="167"/>
      <c r="D45" s="167"/>
      <c r="E45" s="103"/>
    </row>
    <row r="46" spans="1:5" s="178" customFormat="1" ht="12" customHeight="1">
      <c r="A46" s="12" t="s">
        <v>116</v>
      </c>
      <c r="B46" s="180" t="s">
        <v>189</v>
      </c>
      <c r="C46" s="167"/>
      <c r="D46" s="167"/>
      <c r="E46" s="103">
        <v>11622</v>
      </c>
    </row>
    <row r="47" spans="1:5" s="178" customFormat="1" ht="12" customHeight="1">
      <c r="A47" s="12" t="s">
        <v>117</v>
      </c>
      <c r="B47" s="180" t="s">
        <v>190</v>
      </c>
      <c r="C47" s="167"/>
      <c r="D47" s="167"/>
      <c r="E47" s="103"/>
    </row>
    <row r="48" spans="1:5" s="178" customFormat="1" ht="12" customHeight="1">
      <c r="A48" s="12" t="s">
        <v>118</v>
      </c>
      <c r="B48" s="180" t="s">
        <v>484</v>
      </c>
      <c r="C48" s="167"/>
      <c r="D48" s="167"/>
      <c r="E48" s="103">
        <v>1889</v>
      </c>
    </row>
    <row r="49" spans="1:5" s="178" customFormat="1" ht="12" customHeight="1">
      <c r="A49" s="12" t="s">
        <v>182</v>
      </c>
      <c r="B49" s="180" t="s">
        <v>192</v>
      </c>
      <c r="C49" s="170"/>
      <c r="D49" s="170"/>
      <c r="E49" s="106"/>
    </row>
    <row r="50" spans="1:5" s="178" customFormat="1" ht="12" customHeight="1">
      <c r="A50" s="14" t="s">
        <v>183</v>
      </c>
      <c r="B50" s="181" t="s">
        <v>338</v>
      </c>
      <c r="C50" s="171"/>
      <c r="D50" s="171"/>
      <c r="E50" s="107"/>
    </row>
    <row r="51" spans="1:5" s="178" customFormat="1" ht="12" customHeight="1" thickBot="1">
      <c r="A51" s="14" t="s">
        <v>337</v>
      </c>
      <c r="B51" s="111" t="s">
        <v>193</v>
      </c>
      <c r="C51" s="171"/>
      <c r="D51" s="171"/>
      <c r="E51" s="107"/>
    </row>
    <row r="52" spans="1:5" s="178" customFormat="1" ht="12" customHeight="1" thickBot="1">
      <c r="A52" s="18" t="s">
        <v>11</v>
      </c>
      <c r="B52" s="19" t="s">
        <v>194</v>
      </c>
      <c r="C52" s="166">
        <f>SUM(C53:C57)</f>
        <v>0</v>
      </c>
      <c r="D52" s="166">
        <f>SUM(D53:D57)</f>
        <v>0</v>
      </c>
      <c r="E52" s="102">
        <f>SUM(E53:E57)</f>
        <v>0</v>
      </c>
    </row>
    <row r="53" spans="1:5" s="178" customFormat="1" ht="12" customHeight="1">
      <c r="A53" s="13" t="s">
        <v>59</v>
      </c>
      <c r="B53" s="179" t="s">
        <v>198</v>
      </c>
      <c r="C53" s="219"/>
      <c r="D53" s="219"/>
      <c r="E53" s="108"/>
    </row>
    <row r="54" spans="1:5" s="178" customFormat="1" ht="12" customHeight="1">
      <c r="A54" s="12" t="s">
        <v>60</v>
      </c>
      <c r="B54" s="180" t="s">
        <v>199</v>
      </c>
      <c r="C54" s="170"/>
      <c r="D54" s="170"/>
      <c r="E54" s="106"/>
    </row>
    <row r="55" spans="1:5" s="178" customFormat="1" ht="12" customHeight="1">
      <c r="A55" s="12" t="s">
        <v>195</v>
      </c>
      <c r="B55" s="180" t="s">
        <v>200</v>
      </c>
      <c r="C55" s="170"/>
      <c r="D55" s="170"/>
      <c r="E55" s="106"/>
    </row>
    <row r="56" spans="1:5" s="178" customFormat="1" ht="12" customHeight="1">
      <c r="A56" s="12" t="s">
        <v>196</v>
      </c>
      <c r="B56" s="180" t="s">
        <v>201</v>
      </c>
      <c r="C56" s="170"/>
      <c r="D56" s="170"/>
      <c r="E56" s="106"/>
    </row>
    <row r="57" spans="1:5" s="178" customFormat="1" ht="12" customHeight="1" thickBot="1">
      <c r="A57" s="14" t="s">
        <v>197</v>
      </c>
      <c r="B57" s="111" t="s">
        <v>202</v>
      </c>
      <c r="C57" s="171"/>
      <c r="D57" s="171"/>
      <c r="E57" s="107"/>
    </row>
    <row r="58" spans="1:5" s="178" customFormat="1" ht="12" customHeight="1" thickBot="1">
      <c r="A58" s="18" t="s">
        <v>119</v>
      </c>
      <c r="B58" s="19" t="s">
        <v>203</v>
      </c>
      <c r="C58" s="166">
        <f>SUM(C59:C61)</f>
        <v>0</v>
      </c>
      <c r="D58" s="166">
        <f>SUM(D59:D61)</f>
        <v>0</v>
      </c>
      <c r="E58" s="102">
        <f>SUM(E59:E61)</f>
        <v>0</v>
      </c>
    </row>
    <row r="59" spans="1:5" s="178" customFormat="1" ht="12" customHeight="1">
      <c r="A59" s="13" t="s">
        <v>61</v>
      </c>
      <c r="B59" s="179" t="s">
        <v>204</v>
      </c>
      <c r="C59" s="168"/>
      <c r="D59" s="168"/>
      <c r="E59" s="104"/>
    </row>
    <row r="60" spans="1:5" s="178" customFormat="1" ht="12" customHeight="1">
      <c r="A60" s="12" t="s">
        <v>62</v>
      </c>
      <c r="B60" s="180" t="s">
        <v>330</v>
      </c>
      <c r="C60" s="167"/>
      <c r="D60" s="167"/>
      <c r="E60" s="103"/>
    </row>
    <row r="61" spans="1:5" s="178" customFormat="1" ht="12" customHeight="1">
      <c r="A61" s="12" t="s">
        <v>207</v>
      </c>
      <c r="B61" s="180" t="s">
        <v>205</v>
      </c>
      <c r="C61" s="167"/>
      <c r="D61" s="167"/>
      <c r="E61" s="103"/>
    </row>
    <row r="62" spans="1:5" s="178" customFormat="1" ht="12" customHeight="1" thickBot="1">
      <c r="A62" s="14" t="s">
        <v>208</v>
      </c>
      <c r="B62" s="111" t="s">
        <v>206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209</v>
      </c>
      <c r="C63" s="166">
        <f>SUM(C64:C66)</f>
        <v>0</v>
      </c>
      <c r="D63" s="166">
        <f>SUM(D64:D66)</f>
        <v>0</v>
      </c>
      <c r="E63" s="102">
        <f>SUM(E64:E66)</f>
        <v>0</v>
      </c>
    </row>
    <row r="64" spans="1:5" s="178" customFormat="1" ht="12" customHeight="1">
      <c r="A64" s="13" t="s">
        <v>120</v>
      </c>
      <c r="B64" s="179" t="s">
        <v>211</v>
      </c>
      <c r="C64" s="170"/>
      <c r="D64" s="170"/>
      <c r="E64" s="106"/>
    </row>
    <row r="65" spans="1:5" s="178" customFormat="1" ht="12" customHeight="1">
      <c r="A65" s="12" t="s">
        <v>121</v>
      </c>
      <c r="B65" s="180" t="s">
        <v>331</v>
      </c>
      <c r="C65" s="170"/>
      <c r="D65" s="170"/>
      <c r="E65" s="106"/>
    </row>
    <row r="66" spans="1:5" s="178" customFormat="1" ht="12" customHeight="1">
      <c r="A66" s="12" t="s">
        <v>144</v>
      </c>
      <c r="B66" s="180" t="s">
        <v>212</v>
      </c>
      <c r="C66" s="170"/>
      <c r="D66" s="170"/>
      <c r="E66" s="106"/>
    </row>
    <row r="67" spans="1:5" s="178" customFormat="1" ht="12" customHeight="1" thickBot="1">
      <c r="A67" s="14" t="s">
        <v>210</v>
      </c>
      <c r="B67" s="111" t="s">
        <v>213</v>
      </c>
      <c r="C67" s="170"/>
      <c r="D67" s="170"/>
      <c r="E67" s="106"/>
    </row>
    <row r="68" spans="1:5" s="178" customFormat="1" ht="12" customHeight="1" thickBot="1">
      <c r="A68" s="230" t="s">
        <v>378</v>
      </c>
      <c r="B68" s="19" t="s">
        <v>214</v>
      </c>
      <c r="C68" s="172">
        <f>+C11+C18+C25+C32+C40+C52+C58+C63</f>
        <v>65194262</v>
      </c>
      <c r="D68" s="172">
        <f>+D11+D18+D25+D32+D40+D52+D58+D63</f>
        <v>67321114</v>
      </c>
      <c r="E68" s="208">
        <f>+E11+E18+E25+E32+E40+E52+E58+E63</f>
        <v>51452415</v>
      </c>
    </row>
    <row r="69" spans="1:5" s="178" customFormat="1" ht="12" customHeight="1" thickBot="1">
      <c r="A69" s="220" t="s">
        <v>215</v>
      </c>
      <c r="B69" s="109" t="s">
        <v>216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244</v>
      </c>
      <c r="B70" s="179" t="s">
        <v>217</v>
      </c>
      <c r="C70" s="170"/>
      <c r="D70" s="170"/>
      <c r="E70" s="106"/>
    </row>
    <row r="71" spans="1:5" s="178" customFormat="1" ht="12" customHeight="1">
      <c r="A71" s="12" t="s">
        <v>253</v>
      </c>
      <c r="B71" s="180" t="s">
        <v>218</v>
      </c>
      <c r="C71" s="170"/>
      <c r="D71" s="170"/>
      <c r="E71" s="106"/>
    </row>
    <row r="72" spans="1:5" s="178" customFormat="1" ht="12" customHeight="1" thickBot="1">
      <c r="A72" s="14" t="s">
        <v>254</v>
      </c>
      <c r="B72" s="226" t="s">
        <v>363</v>
      </c>
      <c r="C72" s="170"/>
      <c r="D72" s="170"/>
      <c r="E72" s="106"/>
    </row>
    <row r="73" spans="1:5" s="178" customFormat="1" ht="12" customHeight="1" thickBot="1">
      <c r="A73" s="220" t="s">
        <v>220</v>
      </c>
      <c r="B73" s="109" t="s">
        <v>221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98</v>
      </c>
      <c r="B74" s="305" t="s">
        <v>222</v>
      </c>
      <c r="C74" s="170"/>
      <c r="D74" s="170"/>
      <c r="E74" s="106"/>
    </row>
    <row r="75" spans="1:5" s="178" customFormat="1" ht="12" customHeight="1">
      <c r="A75" s="12" t="s">
        <v>99</v>
      </c>
      <c r="B75" s="305" t="s">
        <v>491</v>
      </c>
      <c r="C75" s="170"/>
      <c r="D75" s="170"/>
      <c r="E75" s="106"/>
    </row>
    <row r="76" spans="1:5" s="178" customFormat="1" ht="12" customHeight="1">
      <c r="A76" s="12" t="s">
        <v>245</v>
      </c>
      <c r="B76" s="305" t="s">
        <v>223</v>
      </c>
      <c r="C76" s="170"/>
      <c r="D76" s="170"/>
      <c r="E76" s="106"/>
    </row>
    <row r="77" spans="1:5" s="178" customFormat="1" ht="12" customHeight="1" thickBot="1">
      <c r="A77" s="14" t="s">
        <v>246</v>
      </c>
      <c r="B77" s="306" t="s">
        <v>492</v>
      </c>
      <c r="C77" s="170"/>
      <c r="D77" s="170"/>
      <c r="E77" s="106"/>
    </row>
    <row r="78" spans="1:5" s="178" customFormat="1" ht="12" customHeight="1" thickBot="1">
      <c r="A78" s="220" t="s">
        <v>224</v>
      </c>
      <c r="B78" s="109" t="s">
        <v>225</v>
      </c>
      <c r="C78" s="166">
        <f>SUM(C79:C80)</f>
        <v>3586507</v>
      </c>
      <c r="D78" s="166">
        <f>SUM(D79:D80)</f>
        <v>5789349</v>
      </c>
      <c r="E78" s="102">
        <f>SUM(E79:E80)</f>
        <v>0</v>
      </c>
    </row>
    <row r="79" spans="1:5" s="178" customFormat="1" ht="12" customHeight="1">
      <c r="A79" s="13" t="s">
        <v>247</v>
      </c>
      <c r="B79" s="179" t="s">
        <v>226</v>
      </c>
      <c r="C79" s="170">
        <v>3586507</v>
      </c>
      <c r="D79" s="170">
        <v>5789349</v>
      </c>
      <c r="E79" s="106"/>
    </row>
    <row r="80" spans="1:5" s="178" customFormat="1" ht="12" customHeight="1" thickBot="1">
      <c r="A80" s="14" t="s">
        <v>248</v>
      </c>
      <c r="B80" s="111" t="s">
        <v>227</v>
      </c>
      <c r="C80" s="170"/>
      <c r="D80" s="170"/>
      <c r="E80" s="106"/>
    </row>
    <row r="81" spans="1:5" s="178" customFormat="1" ht="12" customHeight="1" thickBot="1">
      <c r="A81" s="220" t="s">
        <v>228</v>
      </c>
      <c r="B81" s="109" t="s">
        <v>229</v>
      </c>
      <c r="C81" s="166">
        <f>SUM(C82:C84)</f>
        <v>0</v>
      </c>
      <c r="D81" s="166">
        <f>SUM(D82:D84)</f>
        <v>0</v>
      </c>
      <c r="E81" s="102">
        <f>SUM(E82:E84)</f>
        <v>0</v>
      </c>
    </row>
    <row r="82" spans="1:5" s="178" customFormat="1" ht="12" customHeight="1">
      <c r="A82" s="13" t="s">
        <v>249</v>
      </c>
      <c r="B82" s="179" t="s">
        <v>230</v>
      </c>
      <c r="C82" s="170"/>
      <c r="D82" s="170"/>
      <c r="E82" s="106"/>
    </row>
    <row r="83" spans="1:5" s="178" customFormat="1" ht="12" customHeight="1">
      <c r="A83" s="12" t="s">
        <v>250</v>
      </c>
      <c r="B83" s="180" t="s">
        <v>231</v>
      </c>
      <c r="C83" s="170"/>
      <c r="D83" s="170"/>
      <c r="E83" s="106"/>
    </row>
    <row r="84" spans="1:5" s="178" customFormat="1" ht="12" customHeight="1" thickBot="1">
      <c r="A84" s="14" t="s">
        <v>251</v>
      </c>
      <c r="B84" s="111" t="s">
        <v>493</v>
      </c>
      <c r="C84" s="170"/>
      <c r="D84" s="170"/>
      <c r="E84" s="106"/>
    </row>
    <row r="85" spans="1:5" s="178" customFormat="1" ht="12" customHeight="1" thickBot="1">
      <c r="A85" s="220" t="s">
        <v>232</v>
      </c>
      <c r="B85" s="109" t="s">
        <v>252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233</v>
      </c>
      <c r="B86" s="179" t="s">
        <v>234</v>
      </c>
      <c r="C86" s="170"/>
      <c r="D86" s="170"/>
      <c r="E86" s="106"/>
    </row>
    <row r="87" spans="1:5" s="178" customFormat="1" ht="12" customHeight="1">
      <c r="A87" s="184" t="s">
        <v>235</v>
      </c>
      <c r="B87" s="180" t="s">
        <v>236</v>
      </c>
      <c r="C87" s="170"/>
      <c r="D87" s="170"/>
      <c r="E87" s="106"/>
    </row>
    <row r="88" spans="1:5" s="178" customFormat="1" ht="12" customHeight="1">
      <c r="A88" s="184" t="s">
        <v>237</v>
      </c>
      <c r="B88" s="180" t="s">
        <v>238</v>
      </c>
      <c r="C88" s="170"/>
      <c r="D88" s="170"/>
      <c r="E88" s="106"/>
    </row>
    <row r="89" spans="1:5" s="178" customFormat="1" ht="12" customHeight="1" thickBot="1">
      <c r="A89" s="185" t="s">
        <v>239</v>
      </c>
      <c r="B89" s="111" t="s">
        <v>240</v>
      </c>
      <c r="C89" s="170"/>
      <c r="D89" s="170"/>
      <c r="E89" s="106"/>
    </row>
    <row r="90" spans="1:5" s="178" customFormat="1" ht="12" customHeight="1" thickBot="1">
      <c r="A90" s="220" t="s">
        <v>241</v>
      </c>
      <c r="B90" s="109" t="s">
        <v>377</v>
      </c>
      <c r="C90" s="222"/>
      <c r="D90" s="222"/>
      <c r="E90" s="223"/>
    </row>
    <row r="91" spans="1:5" s="178" customFormat="1" ht="13.5" customHeight="1" thickBot="1">
      <c r="A91" s="220" t="s">
        <v>243</v>
      </c>
      <c r="B91" s="109" t="s">
        <v>242</v>
      </c>
      <c r="C91" s="222"/>
      <c r="D91" s="222"/>
      <c r="E91" s="223"/>
    </row>
    <row r="92" spans="1:5" s="178" customFormat="1" ht="15.75" customHeight="1" thickBot="1">
      <c r="A92" s="220" t="s">
        <v>255</v>
      </c>
      <c r="B92" s="186" t="s">
        <v>380</v>
      </c>
      <c r="C92" s="172">
        <f>+C69+C73+C78+C81+C85+C91+C90</f>
        <v>3586507</v>
      </c>
      <c r="D92" s="172">
        <f>+D69+D73+D78+D81+D85+D91+D90</f>
        <v>5789349</v>
      </c>
      <c r="E92" s="208">
        <f>+E69+E73+E78+E81+E85+E91+E90</f>
        <v>0</v>
      </c>
    </row>
    <row r="93" spans="1:5" s="178" customFormat="1" ht="25.5" customHeight="1" thickBot="1">
      <c r="A93" s="221" t="s">
        <v>379</v>
      </c>
      <c r="B93" s="187" t="s">
        <v>381</v>
      </c>
      <c r="C93" s="172">
        <f>+C68+C92</f>
        <v>68780769</v>
      </c>
      <c r="D93" s="172">
        <f>+D68+D92</f>
        <v>73110463</v>
      </c>
      <c r="E93" s="208">
        <f>+E68+E92</f>
        <v>51452415</v>
      </c>
    </row>
    <row r="94" spans="1:3" s="178" customFormat="1" ht="15" customHeight="1">
      <c r="A94" s="3"/>
      <c r="B94" s="4"/>
      <c r="C94" s="113"/>
    </row>
    <row r="95" spans="1:5" ht="16.5" customHeight="1">
      <c r="A95" s="811" t="s">
        <v>34</v>
      </c>
      <c r="B95" s="811"/>
      <c r="C95" s="811"/>
      <c r="D95" s="811"/>
      <c r="E95" s="811"/>
    </row>
    <row r="96" spans="1:5" s="188" customFormat="1" ht="16.5" customHeight="1" thickBot="1">
      <c r="A96" s="813" t="s">
        <v>101</v>
      </c>
      <c r="B96" s="813"/>
      <c r="C96" s="60"/>
      <c r="E96" s="60" t="str">
        <f>E7</f>
        <v> Forintban!</v>
      </c>
    </row>
    <row r="97" spans="1:5" ht="15.75">
      <c r="A97" s="820" t="s">
        <v>51</v>
      </c>
      <c r="B97" s="822" t="s">
        <v>421</v>
      </c>
      <c r="C97" s="806" t="str">
        <f>+CONCATENATE(LEFT(Z_ÖSSZEFÜGGÉSEK!A6,4),". évi")</f>
        <v>2020. évi</v>
      </c>
      <c r="D97" s="807"/>
      <c r="E97" s="808"/>
    </row>
    <row r="98" spans="1:5" ht="24.75" thickBot="1">
      <c r="A98" s="821"/>
      <c r="B98" s="823"/>
      <c r="C98" s="247" t="s">
        <v>419</v>
      </c>
      <c r="D98" s="246" t="s">
        <v>420</v>
      </c>
      <c r="E98" s="307" t="str">
        <f>CONCATENATE(E9)</f>
        <v>2020. XII. 31.
teljesítés</v>
      </c>
    </row>
    <row r="99" spans="1:5" s="177" customFormat="1" ht="12" customHeight="1" thickBot="1">
      <c r="A99" s="25" t="s">
        <v>386</v>
      </c>
      <c r="B99" s="26" t="s">
        <v>387</v>
      </c>
      <c r="C99" s="26" t="s">
        <v>388</v>
      </c>
      <c r="D99" s="26" t="s">
        <v>390</v>
      </c>
      <c r="E99" s="258" t="s">
        <v>389</v>
      </c>
    </row>
    <row r="100" spans="1:5" ht="12" customHeight="1" thickBot="1">
      <c r="A100" s="20" t="s">
        <v>6</v>
      </c>
      <c r="B100" s="24" t="s">
        <v>339</v>
      </c>
      <c r="C100" s="165">
        <f>C101+C102+C103+C104+C105+C118</f>
        <v>68526769</v>
      </c>
      <c r="D100" s="165">
        <f>D101+D102+D103+D104+D105+D118</f>
        <v>72856463</v>
      </c>
      <c r="E100" s="233">
        <f>E101+E102+E103+E104+E105+E118</f>
        <v>68752560</v>
      </c>
    </row>
    <row r="101" spans="1:5" ht="12" customHeight="1">
      <c r="A101" s="15" t="s">
        <v>63</v>
      </c>
      <c r="B101" s="8" t="s">
        <v>35</v>
      </c>
      <c r="C101" s="240">
        <v>49769151</v>
      </c>
      <c r="D101" s="240">
        <v>51086585</v>
      </c>
      <c r="E101" s="234">
        <v>50669919</v>
      </c>
    </row>
    <row r="102" spans="1:5" ht="12" customHeight="1">
      <c r="A102" s="12" t="s">
        <v>64</v>
      </c>
      <c r="B102" s="6" t="s">
        <v>122</v>
      </c>
      <c r="C102" s="167">
        <v>8992218</v>
      </c>
      <c r="D102" s="167">
        <v>8578448</v>
      </c>
      <c r="E102" s="103">
        <v>8421321</v>
      </c>
    </row>
    <row r="103" spans="1:5" ht="12" customHeight="1">
      <c r="A103" s="12" t="s">
        <v>65</v>
      </c>
      <c r="B103" s="6" t="s">
        <v>90</v>
      </c>
      <c r="C103" s="169">
        <v>9765400</v>
      </c>
      <c r="D103" s="169">
        <v>10988588</v>
      </c>
      <c r="E103" s="105">
        <v>9661320</v>
      </c>
    </row>
    <row r="104" spans="1:5" ht="12" customHeight="1">
      <c r="A104" s="12" t="s">
        <v>66</v>
      </c>
      <c r="B104" s="9" t="s">
        <v>123</v>
      </c>
      <c r="C104" s="169"/>
      <c r="D104" s="169"/>
      <c r="E104" s="105"/>
    </row>
    <row r="105" spans="1:5" ht="12" customHeight="1">
      <c r="A105" s="12" t="s">
        <v>75</v>
      </c>
      <c r="B105" s="17" t="s">
        <v>124</v>
      </c>
      <c r="C105" s="169"/>
      <c r="D105" s="169">
        <v>2202842</v>
      </c>
      <c r="E105" s="105"/>
    </row>
    <row r="106" spans="1:5" ht="12" customHeight="1">
      <c r="A106" s="12" t="s">
        <v>67</v>
      </c>
      <c r="B106" s="6" t="s">
        <v>344</v>
      </c>
      <c r="C106" s="169"/>
      <c r="D106" s="169">
        <v>2202842</v>
      </c>
      <c r="E106" s="105"/>
    </row>
    <row r="107" spans="1:5" ht="12" customHeight="1">
      <c r="A107" s="12" t="s">
        <v>68</v>
      </c>
      <c r="B107" s="64" t="s">
        <v>343</v>
      </c>
      <c r="C107" s="169"/>
      <c r="D107" s="169"/>
      <c r="E107" s="105"/>
    </row>
    <row r="108" spans="1:5" ht="12" customHeight="1">
      <c r="A108" s="12" t="s">
        <v>76</v>
      </c>
      <c r="B108" s="64" t="s">
        <v>342</v>
      </c>
      <c r="C108" s="169"/>
      <c r="D108" s="169"/>
      <c r="E108" s="105"/>
    </row>
    <row r="109" spans="1:5" ht="12" customHeight="1">
      <c r="A109" s="12" t="s">
        <v>77</v>
      </c>
      <c r="B109" s="62" t="s">
        <v>258</v>
      </c>
      <c r="C109" s="169"/>
      <c r="D109" s="169"/>
      <c r="E109" s="105"/>
    </row>
    <row r="110" spans="1:5" ht="12" customHeight="1">
      <c r="A110" s="12" t="s">
        <v>78</v>
      </c>
      <c r="B110" s="63" t="s">
        <v>259</v>
      </c>
      <c r="C110" s="169"/>
      <c r="D110" s="169"/>
      <c r="E110" s="105"/>
    </row>
    <row r="111" spans="1:5" ht="12" customHeight="1">
      <c r="A111" s="12" t="s">
        <v>79</v>
      </c>
      <c r="B111" s="63" t="s">
        <v>260</v>
      </c>
      <c r="C111" s="169"/>
      <c r="D111" s="169"/>
      <c r="E111" s="105"/>
    </row>
    <row r="112" spans="1:5" ht="12" customHeight="1">
      <c r="A112" s="12" t="s">
        <v>81</v>
      </c>
      <c r="B112" s="62" t="s">
        <v>261</v>
      </c>
      <c r="C112" s="169"/>
      <c r="D112" s="169"/>
      <c r="E112" s="105"/>
    </row>
    <row r="113" spans="1:5" ht="12" customHeight="1">
      <c r="A113" s="12" t="s">
        <v>125</v>
      </c>
      <c r="B113" s="62" t="s">
        <v>262</v>
      </c>
      <c r="C113" s="169"/>
      <c r="D113" s="169"/>
      <c r="E113" s="105"/>
    </row>
    <row r="114" spans="1:5" ht="12" customHeight="1">
      <c r="A114" s="12" t="s">
        <v>256</v>
      </c>
      <c r="B114" s="63" t="s">
        <v>263</v>
      </c>
      <c r="C114" s="169"/>
      <c r="D114" s="169"/>
      <c r="E114" s="105"/>
    </row>
    <row r="115" spans="1:5" ht="12" customHeight="1">
      <c r="A115" s="11" t="s">
        <v>257</v>
      </c>
      <c r="B115" s="64" t="s">
        <v>264</v>
      </c>
      <c r="C115" s="169"/>
      <c r="D115" s="169"/>
      <c r="E115" s="105"/>
    </row>
    <row r="116" spans="1:5" ht="12" customHeight="1">
      <c r="A116" s="12" t="s">
        <v>340</v>
      </c>
      <c r="B116" s="64" t="s">
        <v>265</v>
      </c>
      <c r="C116" s="169"/>
      <c r="D116" s="169"/>
      <c r="E116" s="105"/>
    </row>
    <row r="117" spans="1:5" ht="12" customHeight="1">
      <c r="A117" s="14" t="s">
        <v>341</v>
      </c>
      <c r="B117" s="64" t="s">
        <v>266</v>
      </c>
      <c r="C117" s="169"/>
      <c r="D117" s="169"/>
      <c r="E117" s="105"/>
    </row>
    <row r="118" spans="1:5" ht="12" customHeight="1">
      <c r="A118" s="12" t="s">
        <v>345</v>
      </c>
      <c r="B118" s="9" t="s">
        <v>36</v>
      </c>
      <c r="C118" s="167"/>
      <c r="D118" s="167"/>
      <c r="E118" s="103"/>
    </row>
    <row r="119" spans="1:5" ht="12" customHeight="1">
      <c r="A119" s="12" t="s">
        <v>346</v>
      </c>
      <c r="B119" s="6" t="s">
        <v>348</v>
      </c>
      <c r="C119" s="167"/>
      <c r="D119" s="167"/>
      <c r="E119" s="103"/>
    </row>
    <row r="120" spans="1:5" ht="12" customHeight="1" thickBot="1">
      <c r="A120" s="16" t="s">
        <v>347</v>
      </c>
      <c r="B120" s="229" t="s">
        <v>349</v>
      </c>
      <c r="C120" s="241"/>
      <c r="D120" s="241"/>
      <c r="E120" s="235"/>
    </row>
    <row r="121" spans="1:5" ht="12" customHeight="1" thickBot="1">
      <c r="A121" s="227" t="s">
        <v>7</v>
      </c>
      <c r="B121" s="228" t="s">
        <v>267</v>
      </c>
      <c r="C121" s="242">
        <f>+C122+C124+C126</f>
        <v>254000</v>
      </c>
      <c r="D121" s="166">
        <f>+D122+D124+D126</f>
        <v>254000</v>
      </c>
      <c r="E121" s="236">
        <f>+E122+E124+E126</f>
        <v>148821</v>
      </c>
    </row>
    <row r="122" spans="1:5" ht="12" customHeight="1">
      <c r="A122" s="13" t="s">
        <v>69</v>
      </c>
      <c r="B122" s="6" t="s">
        <v>143</v>
      </c>
      <c r="C122" s="168">
        <v>254000</v>
      </c>
      <c r="D122" s="251">
        <v>254000</v>
      </c>
      <c r="E122" s="104">
        <v>148821</v>
      </c>
    </row>
    <row r="123" spans="1:5" ht="12" customHeight="1">
      <c r="A123" s="13" t="s">
        <v>70</v>
      </c>
      <c r="B123" s="10" t="s">
        <v>271</v>
      </c>
      <c r="C123" s="168"/>
      <c r="D123" s="251"/>
      <c r="E123" s="104"/>
    </row>
    <row r="124" spans="1:5" ht="12" customHeight="1">
      <c r="A124" s="13" t="s">
        <v>71</v>
      </c>
      <c r="B124" s="10" t="s">
        <v>126</v>
      </c>
      <c r="C124" s="167"/>
      <c r="D124" s="252"/>
      <c r="E124" s="103"/>
    </row>
    <row r="125" spans="1:5" ht="12" customHeight="1">
      <c r="A125" s="13" t="s">
        <v>72</v>
      </c>
      <c r="B125" s="10" t="s">
        <v>272</v>
      </c>
      <c r="C125" s="167"/>
      <c r="D125" s="252"/>
      <c r="E125" s="103"/>
    </row>
    <row r="126" spans="1:5" ht="12" customHeight="1">
      <c r="A126" s="13" t="s">
        <v>73</v>
      </c>
      <c r="B126" s="111" t="s">
        <v>145</v>
      </c>
      <c r="C126" s="167"/>
      <c r="D126" s="252"/>
      <c r="E126" s="103"/>
    </row>
    <row r="127" spans="1:5" ht="12" customHeight="1">
      <c r="A127" s="13" t="s">
        <v>80</v>
      </c>
      <c r="B127" s="110" t="s">
        <v>332</v>
      </c>
      <c r="C127" s="167"/>
      <c r="D127" s="252"/>
      <c r="E127" s="103"/>
    </row>
    <row r="128" spans="1:5" ht="12" customHeight="1">
      <c r="A128" s="13" t="s">
        <v>82</v>
      </c>
      <c r="B128" s="175" t="s">
        <v>277</v>
      </c>
      <c r="C128" s="167"/>
      <c r="D128" s="252"/>
      <c r="E128" s="103"/>
    </row>
    <row r="129" spans="1:5" ht="15.75">
      <c r="A129" s="13" t="s">
        <v>127</v>
      </c>
      <c r="B129" s="63" t="s">
        <v>260</v>
      </c>
      <c r="C129" s="167"/>
      <c r="D129" s="252"/>
      <c r="E129" s="103"/>
    </row>
    <row r="130" spans="1:5" ht="12" customHeight="1">
      <c r="A130" s="13" t="s">
        <v>128</v>
      </c>
      <c r="B130" s="63" t="s">
        <v>276</v>
      </c>
      <c r="C130" s="167"/>
      <c r="D130" s="252"/>
      <c r="E130" s="103"/>
    </row>
    <row r="131" spans="1:5" ht="12" customHeight="1">
      <c r="A131" s="13" t="s">
        <v>129</v>
      </c>
      <c r="B131" s="63" t="s">
        <v>275</v>
      </c>
      <c r="C131" s="167"/>
      <c r="D131" s="252"/>
      <c r="E131" s="103"/>
    </row>
    <row r="132" spans="1:5" ht="12" customHeight="1">
      <c r="A132" s="13" t="s">
        <v>268</v>
      </c>
      <c r="B132" s="63" t="s">
        <v>263</v>
      </c>
      <c r="C132" s="167"/>
      <c r="D132" s="252"/>
      <c r="E132" s="103"/>
    </row>
    <row r="133" spans="1:5" ht="12" customHeight="1">
      <c r="A133" s="13" t="s">
        <v>269</v>
      </c>
      <c r="B133" s="63" t="s">
        <v>274</v>
      </c>
      <c r="C133" s="167"/>
      <c r="D133" s="252"/>
      <c r="E133" s="103"/>
    </row>
    <row r="134" spans="1:5" ht="16.5" thickBot="1">
      <c r="A134" s="11" t="s">
        <v>270</v>
      </c>
      <c r="B134" s="63" t="s">
        <v>273</v>
      </c>
      <c r="C134" s="169"/>
      <c r="D134" s="253"/>
      <c r="E134" s="105"/>
    </row>
    <row r="135" spans="1:5" ht="12" customHeight="1" thickBot="1">
      <c r="A135" s="18" t="s">
        <v>8</v>
      </c>
      <c r="B135" s="56" t="s">
        <v>350</v>
      </c>
      <c r="C135" s="166">
        <f>+C100+C121</f>
        <v>68780769</v>
      </c>
      <c r="D135" s="250">
        <f>+D100+D121</f>
        <v>73110463</v>
      </c>
      <c r="E135" s="102">
        <f>+E100+E121</f>
        <v>68901381</v>
      </c>
    </row>
    <row r="136" spans="1:5" ht="12" customHeight="1" thickBot="1">
      <c r="A136" s="18" t="s">
        <v>9</v>
      </c>
      <c r="B136" s="56" t="s">
        <v>422</v>
      </c>
      <c r="C136" s="166">
        <f>+C137+C138+C139</f>
        <v>0</v>
      </c>
      <c r="D136" s="250">
        <f>+D137+D138+D139</f>
        <v>0</v>
      </c>
      <c r="E136" s="102">
        <f>+E137+E138+E139</f>
        <v>0</v>
      </c>
    </row>
    <row r="137" spans="1:5" ht="12" customHeight="1">
      <c r="A137" s="13" t="s">
        <v>177</v>
      </c>
      <c r="B137" s="10" t="s">
        <v>358</v>
      </c>
      <c r="C137" s="167"/>
      <c r="D137" s="252"/>
      <c r="E137" s="103"/>
    </row>
    <row r="138" spans="1:5" ht="12" customHeight="1">
      <c r="A138" s="13" t="s">
        <v>178</v>
      </c>
      <c r="B138" s="10" t="s">
        <v>359</v>
      </c>
      <c r="C138" s="167"/>
      <c r="D138" s="252"/>
      <c r="E138" s="103"/>
    </row>
    <row r="139" spans="1:5" ht="12" customHeight="1" thickBot="1">
      <c r="A139" s="11" t="s">
        <v>179</v>
      </c>
      <c r="B139" s="10" t="s">
        <v>360</v>
      </c>
      <c r="C139" s="167"/>
      <c r="D139" s="252"/>
      <c r="E139" s="103"/>
    </row>
    <row r="140" spans="1:5" ht="12" customHeight="1" thickBot="1">
      <c r="A140" s="18" t="s">
        <v>10</v>
      </c>
      <c r="B140" s="56" t="s">
        <v>352</v>
      </c>
      <c r="C140" s="166">
        <f>SUM(C141:C146)</f>
        <v>0</v>
      </c>
      <c r="D140" s="250">
        <f>SUM(D141:D146)</f>
        <v>0</v>
      </c>
      <c r="E140" s="102">
        <f>SUM(E141:E146)</f>
        <v>0</v>
      </c>
    </row>
    <row r="141" spans="1:5" ht="12" customHeight="1">
      <c r="A141" s="13" t="s">
        <v>56</v>
      </c>
      <c r="B141" s="7" t="s">
        <v>361</v>
      </c>
      <c r="C141" s="167"/>
      <c r="D141" s="252"/>
      <c r="E141" s="103"/>
    </row>
    <row r="142" spans="1:5" ht="12" customHeight="1">
      <c r="A142" s="13" t="s">
        <v>57</v>
      </c>
      <c r="B142" s="7" t="s">
        <v>353</v>
      </c>
      <c r="C142" s="167"/>
      <c r="D142" s="252"/>
      <c r="E142" s="103"/>
    </row>
    <row r="143" spans="1:5" ht="12" customHeight="1">
      <c r="A143" s="13" t="s">
        <v>58</v>
      </c>
      <c r="B143" s="7" t="s">
        <v>354</v>
      </c>
      <c r="C143" s="167"/>
      <c r="D143" s="252"/>
      <c r="E143" s="103"/>
    </row>
    <row r="144" spans="1:5" ht="12" customHeight="1">
      <c r="A144" s="13" t="s">
        <v>114</v>
      </c>
      <c r="B144" s="7" t="s">
        <v>355</v>
      </c>
      <c r="C144" s="167"/>
      <c r="D144" s="252"/>
      <c r="E144" s="103"/>
    </row>
    <row r="145" spans="1:5" ht="12" customHeight="1">
      <c r="A145" s="13" t="s">
        <v>115</v>
      </c>
      <c r="B145" s="7" t="s">
        <v>356</v>
      </c>
      <c r="C145" s="167"/>
      <c r="D145" s="252"/>
      <c r="E145" s="103"/>
    </row>
    <row r="146" spans="1:5" ht="12" customHeight="1" thickBot="1">
      <c r="A146" s="16" t="s">
        <v>116</v>
      </c>
      <c r="B146" s="313" t="s">
        <v>357</v>
      </c>
      <c r="C146" s="241"/>
      <c r="D146" s="290"/>
      <c r="E146" s="235"/>
    </row>
    <row r="147" spans="1:5" ht="12" customHeight="1" thickBot="1">
      <c r="A147" s="18" t="s">
        <v>11</v>
      </c>
      <c r="B147" s="56" t="s">
        <v>365</v>
      </c>
      <c r="C147" s="172">
        <f>+C148+C149+C150+C151</f>
        <v>0</v>
      </c>
      <c r="D147" s="254">
        <f>+D148+D149+D150+D151</f>
        <v>0</v>
      </c>
      <c r="E147" s="208">
        <f>+E148+E149+E150+E151</f>
        <v>0</v>
      </c>
    </row>
    <row r="148" spans="1:5" ht="12" customHeight="1">
      <c r="A148" s="13" t="s">
        <v>59</v>
      </c>
      <c r="B148" s="7" t="s">
        <v>278</v>
      </c>
      <c r="C148" s="167"/>
      <c r="D148" s="252"/>
      <c r="E148" s="103"/>
    </row>
    <row r="149" spans="1:5" ht="12" customHeight="1">
      <c r="A149" s="13" t="s">
        <v>60</v>
      </c>
      <c r="B149" s="7" t="s">
        <v>279</v>
      </c>
      <c r="C149" s="167"/>
      <c r="D149" s="252"/>
      <c r="E149" s="103"/>
    </row>
    <row r="150" spans="1:5" ht="12" customHeight="1">
      <c r="A150" s="13" t="s">
        <v>195</v>
      </c>
      <c r="B150" s="7" t="s">
        <v>366</v>
      </c>
      <c r="C150" s="167"/>
      <c r="D150" s="252"/>
      <c r="E150" s="103"/>
    </row>
    <row r="151" spans="1:5" ht="12" customHeight="1" thickBot="1">
      <c r="A151" s="11" t="s">
        <v>196</v>
      </c>
      <c r="B151" s="5" t="s">
        <v>295</v>
      </c>
      <c r="C151" s="167"/>
      <c r="D151" s="252"/>
      <c r="E151" s="103"/>
    </row>
    <row r="152" spans="1:5" ht="12" customHeight="1" thickBot="1">
      <c r="A152" s="18" t="s">
        <v>12</v>
      </c>
      <c r="B152" s="56" t="s">
        <v>367</v>
      </c>
      <c r="C152" s="243">
        <f>SUM(C153:C157)</f>
        <v>0</v>
      </c>
      <c r="D152" s="255">
        <f>SUM(D153:D157)</f>
        <v>0</v>
      </c>
      <c r="E152" s="237">
        <f>SUM(E153:E157)</f>
        <v>0</v>
      </c>
    </row>
    <row r="153" spans="1:5" ht="12" customHeight="1">
      <c r="A153" s="13" t="s">
        <v>61</v>
      </c>
      <c r="B153" s="7" t="s">
        <v>362</v>
      </c>
      <c r="C153" s="167"/>
      <c r="D153" s="252"/>
      <c r="E153" s="103"/>
    </row>
    <row r="154" spans="1:5" ht="12" customHeight="1">
      <c r="A154" s="13" t="s">
        <v>62</v>
      </c>
      <c r="B154" s="7" t="s">
        <v>369</v>
      </c>
      <c r="C154" s="167"/>
      <c r="D154" s="252"/>
      <c r="E154" s="103"/>
    </row>
    <row r="155" spans="1:5" ht="12" customHeight="1">
      <c r="A155" s="13" t="s">
        <v>207</v>
      </c>
      <c r="B155" s="7" t="s">
        <v>364</v>
      </c>
      <c r="C155" s="167"/>
      <c r="D155" s="252"/>
      <c r="E155" s="103"/>
    </row>
    <row r="156" spans="1:5" ht="12" customHeight="1">
      <c r="A156" s="13" t="s">
        <v>208</v>
      </c>
      <c r="B156" s="7" t="s">
        <v>370</v>
      </c>
      <c r="C156" s="167"/>
      <c r="D156" s="252"/>
      <c r="E156" s="103"/>
    </row>
    <row r="157" spans="1:5" ht="12" customHeight="1" thickBot="1">
      <c r="A157" s="13" t="s">
        <v>368</v>
      </c>
      <c r="B157" s="7" t="s">
        <v>371</v>
      </c>
      <c r="C157" s="167"/>
      <c r="D157" s="252"/>
      <c r="E157" s="103"/>
    </row>
    <row r="158" spans="1:5" ht="12" customHeight="1" thickBot="1">
      <c r="A158" s="18" t="s">
        <v>13</v>
      </c>
      <c r="B158" s="56" t="s">
        <v>372</v>
      </c>
      <c r="C158" s="244"/>
      <c r="D158" s="256"/>
      <c r="E158" s="238"/>
    </row>
    <row r="159" spans="1:5" ht="12" customHeight="1" thickBot="1">
      <c r="A159" s="18" t="s">
        <v>14</v>
      </c>
      <c r="B159" s="56" t="s">
        <v>373</v>
      </c>
      <c r="C159" s="244"/>
      <c r="D159" s="256"/>
      <c r="E159" s="238"/>
    </row>
    <row r="160" spans="1:9" ht="15" customHeight="1" thickBot="1">
      <c r="A160" s="18" t="s">
        <v>15</v>
      </c>
      <c r="B160" s="56" t="s">
        <v>375</v>
      </c>
      <c r="C160" s="245">
        <f>+C136+C140+C147+C152+C158+C159</f>
        <v>0</v>
      </c>
      <c r="D160" s="257">
        <f>+D136+D140+D147+D152+D158+D159</f>
        <v>0</v>
      </c>
      <c r="E160" s="239">
        <f>+E136+E140+E147+E152+E158+E159</f>
        <v>0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374</v>
      </c>
      <c r="C161" s="245">
        <f>+C135+C160</f>
        <v>68780769</v>
      </c>
      <c r="D161" s="257">
        <f>+D135+D160</f>
        <v>73110463</v>
      </c>
      <c r="E161" s="239">
        <f>+E135+E160</f>
        <v>68901381</v>
      </c>
    </row>
    <row r="162" spans="3:4" ht="15.75">
      <c r="C162" s="656">
        <f>C93-C161</f>
        <v>0</v>
      </c>
      <c r="D162" s="656">
        <f>D93-D161</f>
        <v>0</v>
      </c>
    </row>
    <row r="163" spans="1:5" ht="15.75">
      <c r="A163" s="809" t="s">
        <v>280</v>
      </c>
      <c r="B163" s="809"/>
      <c r="C163" s="809"/>
      <c r="D163" s="809"/>
      <c r="E163" s="809"/>
    </row>
    <row r="164" spans="1:5" ht="15" customHeight="1" thickBot="1">
      <c r="A164" s="819" t="s">
        <v>102</v>
      </c>
      <c r="B164" s="819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376</v>
      </c>
      <c r="C165" s="249">
        <f>+C68-C135</f>
        <v>-3586507</v>
      </c>
      <c r="D165" s="166">
        <f>+D68-D135</f>
        <v>-5789349</v>
      </c>
      <c r="E165" s="102">
        <f>+E68-E135</f>
        <v>-17448966</v>
      </c>
    </row>
    <row r="166" spans="1:5" ht="32.25" customHeight="1" thickBot="1">
      <c r="A166" s="18" t="s">
        <v>7</v>
      </c>
      <c r="B166" s="23" t="s">
        <v>382</v>
      </c>
      <c r="C166" s="166">
        <f>+C92-C160</f>
        <v>3586507</v>
      </c>
      <c r="D166" s="166">
        <f>+D92-D160</f>
        <v>5789349</v>
      </c>
      <c r="E166" s="102">
        <f>+E92-E160</f>
        <v>0</v>
      </c>
    </row>
  </sheetData>
  <sheetProtection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C17">
      <selection activeCell="J34" sqref="J34"/>
    </sheetView>
  </sheetViews>
  <sheetFormatPr defaultColWidth="9.00390625" defaultRowHeight="12.75"/>
  <cols>
    <col min="1" max="1" width="6.875" style="33" customWidth="1"/>
    <col min="2" max="2" width="48.00390625" style="71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338"/>
      <c r="B1" s="344" t="s">
        <v>106</v>
      </c>
      <c r="C1" s="345"/>
      <c r="D1" s="345"/>
      <c r="E1" s="345"/>
      <c r="F1" s="345"/>
      <c r="G1" s="345"/>
      <c r="H1" s="345"/>
      <c r="I1" s="345"/>
      <c r="J1" s="827" t="s">
        <v>975</v>
      </c>
    </row>
    <row r="2" spans="1:10" ht="14.25" thickBot="1">
      <c r="A2" s="338"/>
      <c r="B2" s="337"/>
      <c r="C2" s="338"/>
      <c r="D2" s="338"/>
      <c r="E2" s="338"/>
      <c r="F2" s="338"/>
      <c r="G2" s="346"/>
      <c r="H2" s="346"/>
      <c r="I2" s="346" t="str">
        <f>CONCATENATE(4!E7)</f>
        <v> Forintban!</v>
      </c>
      <c r="J2" s="827"/>
    </row>
    <row r="3" spans="1:10" ht="18" customHeight="1" thickBot="1">
      <c r="A3" s="824" t="s">
        <v>51</v>
      </c>
      <c r="B3" s="347" t="s">
        <v>39</v>
      </c>
      <c r="C3" s="348"/>
      <c r="D3" s="349"/>
      <c r="E3" s="349"/>
      <c r="F3" s="347" t="s">
        <v>40</v>
      </c>
      <c r="G3" s="350"/>
      <c r="H3" s="351"/>
      <c r="I3" s="352"/>
      <c r="J3" s="827"/>
    </row>
    <row r="4" spans="1:10" s="122" customFormat="1" ht="35.25" customHeight="1" thickBot="1">
      <c r="A4" s="825"/>
      <c r="B4" s="340" t="s">
        <v>44</v>
      </c>
      <c r="C4" s="310" t="str">
        <f>+CONCATENATE('1 '!C8," eredeti előirányzat")</f>
        <v>2020. évi eredeti előirányzat</v>
      </c>
      <c r="D4" s="308" t="str">
        <f>+CONCATENATE('1 '!C8," módosított előirányzat")</f>
        <v>2020. évi módosított előirányzat</v>
      </c>
      <c r="E4" s="308" t="str">
        <f>CONCATENATE(4!E9)</f>
        <v>2020. XII. 31.
teljesítés</v>
      </c>
      <c r="F4" s="340" t="s">
        <v>44</v>
      </c>
      <c r="G4" s="310" t="str">
        <f>+C4</f>
        <v>2020. évi eredeti előirányzat</v>
      </c>
      <c r="H4" s="310" t="str">
        <f>+D4</f>
        <v>2020. évi módosított előirányzat</v>
      </c>
      <c r="I4" s="309" t="str">
        <f>+E4</f>
        <v>2020. XII. 31.
teljesítés</v>
      </c>
      <c r="J4" s="827"/>
    </row>
    <row r="5" spans="1:10" s="123" customFormat="1" ht="12" customHeight="1" thickBot="1">
      <c r="A5" s="353" t="s">
        <v>386</v>
      </c>
      <c r="B5" s="354" t="s">
        <v>387</v>
      </c>
      <c r="C5" s="355" t="s">
        <v>388</v>
      </c>
      <c r="D5" s="358" t="s">
        <v>390</v>
      </c>
      <c r="E5" s="358" t="s">
        <v>389</v>
      </c>
      <c r="F5" s="354" t="s">
        <v>423</v>
      </c>
      <c r="G5" s="355" t="s">
        <v>392</v>
      </c>
      <c r="H5" s="355" t="s">
        <v>393</v>
      </c>
      <c r="I5" s="359" t="s">
        <v>424</v>
      </c>
      <c r="J5" s="827"/>
    </row>
    <row r="6" spans="1:10" ht="12.75" customHeight="1">
      <c r="A6" s="124" t="s">
        <v>6</v>
      </c>
      <c r="B6" s="125" t="s">
        <v>281</v>
      </c>
      <c r="C6" s="115">
        <v>192891415</v>
      </c>
      <c r="D6" s="115">
        <v>222651750</v>
      </c>
      <c r="E6" s="115">
        <v>222651750</v>
      </c>
      <c r="F6" s="125" t="s">
        <v>45</v>
      </c>
      <c r="G6" s="115">
        <v>228209131</v>
      </c>
      <c r="H6" s="115">
        <v>230143547</v>
      </c>
      <c r="I6" s="263">
        <v>213713954</v>
      </c>
      <c r="J6" s="827"/>
    </row>
    <row r="7" spans="1:10" ht="12.75" customHeight="1">
      <c r="A7" s="126" t="s">
        <v>7</v>
      </c>
      <c r="B7" s="127" t="s">
        <v>282</v>
      </c>
      <c r="C7" s="116">
        <v>96178089</v>
      </c>
      <c r="D7" s="116">
        <v>86306364</v>
      </c>
      <c r="E7" s="116">
        <v>88956024</v>
      </c>
      <c r="F7" s="127" t="s">
        <v>122</v>
      </c>
      <c r="G7" s="116">
        <v>36629888</v>
      </c>
      <c r="H7" s="116">
        <v>35962543</v>
      </c>
      <c r="I7" s="264">
        <v>32330800</v>
      </c>
      <c r="J7" s="827"/>
    </row>
    <row r="8" spans="1:10" ht="12.75" customHeight="1">
      <c r="A8" s="126" t="s">
        <v>8</v>
      </c>
      <c r="B8" s="127" t="s">
        <v>300</v>
      </c>
      <c r="C8" s="116"/>
      <c r="D8" s="116"/>
      <c r="E8" s="116"/>
      <c r="F8" s="127" t="s">
        <v>148</v>
      </c>
      <c r="G8" s="116">
        <v>128381413</v>
      </c>
      <c r="H8" s="116">
        <v>138114888</v>
      </c>
      <c r="I8" s="264">
        <v>114015045</v>
      </c>
      <c r="J8" s="827"/>
    </row>
    <row r="9" spans="1:10" ht="12.75" customHeight="1">
      <c r="A9" s="126" t="s">
        <v>9</v>
      </c>
      <c r="B9" s="127" t="s">
        <v>113</v>
      </c>
      <c r="C9" s="116">
        <v>68069393</v>
      </c>
      <c r="D9" s="116">
        <v>57069393</v>
      </c>
      <c r="E9" s="116">
        <v>58279048</v>
      </c>
      <c r="F9" s="127" t="s">
        <v>123</v>
      </c>
      <c r="G9" s="116">
        <v>14600000</v>
      </c>
      <c r="H9" s="116">
        <v>17562350</v>
      </c>
      <c r="I9" s="264">
        <v>13704500</v>
      </c>
      <c r="J9" s="827"/>
    </row>
    <row r="10" spans="1:10" ht="12.75" customHeight="1">
      <c r="A10" s="126" t="s">
        <v>10</v>
      </c>
      <c r="B10" s="128" t="s">
        <v>325</v>
      </c>
      <c r="C10" s="116">
        <v>26790000</v>
      </c>
      <c r="D10" s="116">
        <v>33256781</v>
      </c>
      <c r="E10" s="116">
        <v>23685219</v>
      </c>
      <c r="F10" s="127" t="s">
        <v>124</v>
      </c>
      <c r="G10" s="116">
        <v>7535000</v>
      </c>
      <c r="H10" s="116">
        <v>13693256</v>
      </c>
      <c r="I10" s="264">
        <v>10730886</v>
      </c>
      <c r="J10" s="827"/>
    </row>
    <row r="11" spans="1:10" ht="12.75" customHeight="1">
      <c r="A11" s="126" t="s">
        <v>11</v>
      </c>
      <c r="B11" s="127" t="s">
        <v>283</v>
      </c>
      <c r="C11" s="117"/>
      <c r="D11" s="117"/>
      <c r="E11" s="117"/>
      <c r="F11" s="127" t="s">
        <v>36</v>
      </c>
      <c r="G11" s="116">
        <v>8620856</v>
      </c>
      <c r="H11" s="116">
        <v>3785156</v>
      </c>
      <c r="I11" s="264"/>
      <c r="J11" s="827"/>
    </row>
    <row r="12" spans="1:10" ht="12.75" customHeight="1">
      <c r="A12" s="126" t="s">
        <v>12</v>
      </c>
      <c r="B12" s="127" t="s">
        <v>383</v>
      </c>
      <c r="C12" s="116"/>
      <c r="D12" s="116"/>
      <c r="E12" s="116"/>
      <c r="F12" s="30"/>
      <c r="G12" s="116"/>
      <c r="H12" s="116"/>
      <c r="I12" s="264"/>
      <c r="J12" s="827"/>
    </row>
    <row r="13" spans="1:10" ht="12.75" customHeight="1">
      <c r="A13" s="126" t="s">
        <v>13</v>
      </c>
      <c r="B13" s="30"/>
      <c r="C13" s="116"/>
      <c r="D13" s="116"/>
      <c r="E13" s="116"/>
      <c r="F13" s="30"/>
      <c r="G13" s="116"/>
      <c r="H13" s="116"/>
      <c r="I13" s="264"/>
      <c r="J13" s="827"/>
    </row>
    <row r="14" spans="1:10" ht="12.75" customHeight="1">
      <c r="A14" s="126" t="s">
        <v>14</v>
      </c>
      <c r="B14" s="191"/>
      <c r="C14" s="117"/>
      <c r="D14" s="117"/>
      <c r="E14" s="117"/>
      <c r="F14" s="30"/>
      <c r="G14" s="116"/>
      <c r="H14" s="116"/>
      <c r="I14" s="264"/>
      <c r="J14" s="827"/>
    </row>
    <row r="15" spans="1:10" ht="12.75" customHeight="1">
      <c r="A15" s="126" t="s">
        <v>15</v>
      </c>
      <c r="B15" s="30"/>
      <c r="C15" s="116"/>
      <c r="D15" s="116"/>
      <c r="E15" s="116"/>
      <c r="F15" s="30"/>
      <c r="G15" s="116"/>
      <c r="H15" s="116"/>
      <c r="I15" s="264"/>
      <c r="J15" s="827"/>
    </row>
    <row r="16" spans="1:10" ht="12.75" customHeight="1">
      <c r="A16" s="126" t="s">
        <v>16</v>
      </c>
      <c r="B16" s="30"/>
      <c r="C16" s="116"/>
      <c r="D16" s="116"/>
      <c r="E16" s="116"/>
      <c r="F16" s="30"/>
      <c r="G16" s="116"/>
      <c r="H16" s="116"/>
      <c r="I16" s="264"/>
      <c r="J16" s="827"/>
    </row>
    <row r="17" spans="1:10" ht="12.75" customHeight="1" thickBot="1">
      <c r="A17" s="126" t="s">
        <v>17</v>
      </c>
      <c r="B17" s="35"/>
      <c r="C17" s="118"/>
      <c r="D17" s="118"/>
      <c r="E17" s="118"/>
      <c r="F17" s="30"/>
      <c r="G17" s="118"/>
      <c r="H17" s="118"/>
      <c r="I17" s="265"/>
      <c r="J17" s="827"/>
    </row>
    <row r="18" spans="1:10" ht="21.75" thickBot="1">
      <c r="A18" s="129" t="s">
        <v>18</v>
      </c>
      <c r="B18" s="57" t="s">
        <v>384</v>
      </c>
      <c r="C18" s="119">
        <f>C6+C7+C9+C10+C11+C13+C14+C15+C16+C17</f>
        <v>383928897</v>
      </c>
      <c r="D18" s="119">
        <f>D6+D7+D9+D10+D11+D13+D14+D15+D16+D17</f>
        <v>399284288</v>
      </c>
      <c r="E18" s="119">
        <f>E6+E7+E9+E10+E11+E13+E14+E15+E16+E17</f>
        <v>393572041</v>
      </c>
      <c r="F18" s="57" t="s">
        <v>286</v>
      </c>
      <c r="G18" s="119">
        <f>SUM(G6:G17)</f>
        <v>423976288</v>
      </c>
      <c r="H18" s="119">
        <f>SUM(H6:H17)</f>
        <v>439261740</v>
      </c>
      <c r="I18" s="147">
        <f>SUM(I6:I17)</f>
        <v>384495185</v>
      </c>
      <c r="J18" s="827"/>
    </row>
    <row r="19" spans="1:10" ht="12.75" customHeight="1">
      <c r="A19" s="130" t="s">
        <v>19</v>
      </c>
      <c r="B19" s="131" t="s">
        <v>843</v>
      </c>
      <c r="C19" s="231">
        <f>+C20+C21+C22+C23</f>
        <v>40047391</v>
      </c>
      <c r="D19" s="231">
        <f>+D20+D21+D22+D23</f>
        <v>31906860</v>
      </c>
      <c r="E19" s="231">
        <f>+E20+E21+E22+E23</f>
        <v>39211612</v>
      </c>
      <c r="F19" s="132" t="s">
        <v>130</v>
      </c>
      <c r="G19" s="120"/>
      <c r="H19" s="120"/>
      <c r="I19" s="266"/>
      <c r="J19" s="827"/>
    </row>
    <row r="20" spans="1:10" ht="12.75" customHeight="1">
      <c r="A20" s="133" t="s">
        <v>20</v>
      </c>
      <c r="B20" s="132" t="s">
        <v>141</v>
      </c>
      <c r="C20" s="48">
        <v>40047391</v>
      </c>
      <c r="D20" s="48">
        <v>31906860</v>
      </c>
      <c r="E20" s="48">
        <v>30168758</v>
      </c>
      <c r="F20" s="132" t="s">
        <v>285</v>
      </c>
      <c r="G20" s="48"/>
      <c r="H20" s="48"/>
      <c r="I20" s="267"/>
      <c r="J20" s="827"/>
    </row>
    <row r="21" spans="1:10" ht="12.75" customHeight="1">
      <c r="A21" s="133" t="s">
        <v>21</v>
      </c>
      <c r="B21" s="132" t="s">
        <v>142</v>
      </c>
      <c r="C21" s="48"/>
      <c r="D21" s="48"/>
      <c r="E21" s="48"/>
      <c r="F21" s="132" t="s">
        <v>104</v>
      </c>
      <c r="G21" s="48"/>
      <c r="H21" s="48"/>
      <c r="I21" s="267"/>
      <c r="J21" s="827"/>
    </row>
    <row r="22" spans="1:10" ht="12.75" customHeight="1">
      <c r="A22" s="133" t="s">
        <v>22</v>
      </c>
      <c r="B22" s="132" t="s">
        <v>146</v>
      </c>
      <c r="C22" s="48"/>
      <c r="D22" s="48"/>
      <c r="E22" s="48"/>
      <c r="F22" s="132" t="s">
        <v>105</v>
      </c>
      <c r="G22" s="48"/>
      <c r="H22" s="48"/>
      <c r="I22" s="267"/>
      <c r="J22" s="827"/>
    </row>
    <row r="23" spans="1:10" ht="12.75" customHeight="1">
      <c r="A23" s="133" t="s">
        <v>23</v>
      </c>
      <c r="B23" s="132" t="s">
        <v>147</v>
      </c>
      <c r="C23" s="48"/>
      <c r="D23" s="48"/>
      <c r="E23" s="48">
        <v>9042854</v>
      </c>
      <c r="F23" s="131" t="s">
        <v>149</v>
      </c>
      <c r="G23" s="48"/>
      <c r="H23" s="48"/>
      <c r="I23" s="267"/>
      <c r="J23" s="827"/>
    </row>
    <row r="24" spans="1:10" ht="12.75" customHeight="1">
      <c r="A24" s="126" t="s">
        <v>24</v>
      </c>
      <c r="B24" s="132" t="s">
        <v>284</v>
      </c>
      <c r="C24" s="48"/>
      <c r="D24" s="48"/>
      <c r="E24" s="48"/>
      <c r="F24" s="132" t="s">
        <v>131</v>
      </c>
      <c r="G24" s="48"/>
      <c r="H24" s="48"/>
      <c r="I24" s="267"/>
      <c r="J24" s="827"/>
    </row>
    <row r="25" spans="1:10" ht="12.75" customHeight="1">
      <c r="A25" s="126" t="s">
        <v>25</v>
      </c>
      <c r="B25" s="132" t="s">
        <v>842</v>
      </c>
      <c r="C25" s="134">
        <f>C26+C27+C28</f>
        <v>0</v>
      </c>
      <c r="D25" s="134">
        <f>D26+D27+D28</f>
        <v>0</v>
      </c>
      <c r="E25" s="134">
        <f>E26+E27+E28</f>
        <v>0</v>
      </c>
      <c r="F25" s="125" t="s">
        <v>366</v>
      </c>
      <c r="G25" s="48"/>
      <c r="H25" s="48"/>
      <c r="I25" s="267"/>
      <c r="J25" s="827"/>
    </row>
    <row r="26" spans="1:10" ht="12.75" customHeight="1">
      <c r="A26" s="162" t="s">
        <v>26</v>
      </c>
      <c r="B26" s="131" t="s">
        <v>157</v>
      </c>
      <c r="C26" s="120"/>
      <c r="D26" s="120"/>
      <c r="E26" s="120"/>
      <c r="F26" s="127" t="s">
        <v>372</v>
      </c>
      <c r="G26" s="120"/>
      <c r="H26" s="120"/>
      <c r="I26" s="266"/>
      <c r="J26" s="827"/>
    </row>
    <row r="27" spans="1:10" ht="12.75" customHeight="1">
      <c r="A27" s="126" t="s">
        <v>27</v>
      </c>
      <c r="B27" s="132" t="s">
        <v>377</v>
      </c>
      <c r="C27" s="48"/>
      <c r="D27" s="48"/>
      <c r="E27" s="48"/>
      <c r="F27" s="127" t="s">
        <v>373</v>
      </c>
      <c r="G27" s="48"/>
      <c r="H27" s="48"/>
      <c r="I27" s="267"/>
      <c r="J27" s="827"/>
    </row>
    <row r="28" spans="1:10" ht="12.75" customHeight="1" thickBot="1">
      <c r="A28" s="162" t="s">
        <v>28</v>
      </c>
      <c r="B28" s="131" t="s">
        <v>242</v>
      </c>
      <c r="C28" s="120"/>
      <c r="D28" s="120"/>
      <c r="E28" s="120"/>
      <c r="F28" s="193" t="s">
        <v>903</v>
      </c>
      <c r="G28" s="120"/>
      <c r="H28" s="120">
        <v>7715657</v>
      </c>
      <c r="I28" s="266">
        <v>7715657</v>
      </c>
      <c r="J28" s="827"/>
    </row>
    <row r="29" spans="1:10" ht="24" customHeight="1" thickBot="1">
      <c r="A29" s="129" t="s">
        <v>29</v>
      </c>
      <c r="B29" s="57" t="s">
        <v>845</v>
      </c>
      <c r="C29" s="119">
        <f>+C19+C25</f>
        <v>40047391</v>
      </c>
      <c r="D29" s="119">
        <f>+D19+D25</f>
        <v>31906860</v>
      </c>
      <c r="E29" s="261">
        <f>+E19+E25</f>
        <v>39211612</v>
      </c>
      <c r="F29" s="57" t="s">
        <v>844</v>
      </c>
      <c r="G29" s="119">
        <f>SUM(G19:G28)</f>
        <v>0</v>
      </c>
      <c r="H29" s="119">
        <f>SUM(H19:H28)</f>
        <v>7715657</v>
      </c>
      <c r="I29" s="147">
        <f>SUM(I19:I28)</f>
        <v>7715657</v>
      </c>
      <c r="J29" s="827"/>
    </row>
    <row r="30" spans="1:10" ht="13.5" thickBot="1">
      <c r="A30" s="129" t="s">
        <v>30</v>
      </c>
      <c r="B30" s="135" t="s">
        <v>385</v>
      </c>
      <c r="C30" s="303">
        <f>+C18+C29</f>
        <v>423976288</v>
      </c>
      <c r="D30" s="303">
        <f>+D18+D29</f>
        <v>431191148</v>
      </c>
      <c r="E30" s="304">
        <f>+E18+E29</f>
        <v>432783653</v>
      </c>
      <c r="F30" s="135"/>
      <c r="G30" s="303">
        <f>+G18+G29</f>
        <v>423976288</v>
      </c>
      <c r="H30" s="303">
        <f>+H18+H29</f>
        <v>446977397</v>
      </c>
      <c r="I30" s="304">
        <f>+I18+I29</f>
        <v>392210842</v>
      </c>
      <c r="J30" s="827"/>
    </row>
    <row r="31" spans="1:10" ht="13.5" thickBot="1">
      <c r="A31" s="129" t="s">
        <v>31</v>
      </c>
      <c r="B31" s="135" t="s">
        <v>108</v>
      </c>
      <c r="C31" s="303">
        <f>IF(C18-G18&lt;0,G18-C18,"-")</f>
        <v>40047391</v>
      </c>
      <c r="D31" s="303">
        <f>IF(D18-H18&lt;0,H18-D18,"-")</f>
        <v>39977452</v>
      </c>
      <c r="E31" s="304" t="str">
        <f>IF(E18-I18&lt;0,I18-E18,"-")</f>
        <v>-</v>
      </c>
      <c r="F31" s="135" t="s">
        <v>109</v>
      </c>
      <c r="G31" s="303" t="str">
        <f>IF(C18-G18&gt;0,C18-G18,"-")</f>
        <v>-</v>
      </c>
      <c r="H31" s="303" t="str">
        <f>IF(D18-H18&gt;0,D18-H18,"-")</f>
        <v>-</v>
      </c>
      <c r="I31" s="304">
        <f>IF(E18-I18&gt;0,E18-I18,"-")</f>
        <v>9076856</v>
      </c>
      <c r="J31" s="827"/>
    </row>
    <row r="32" spans="1:10" ht="13.5" thickBot="1">
      <c r="A32" s="129" t="s">
        <v>32</v>
      </c>
      <c r="B32" s="135" t="s">
        <v>489</v>
      </c>
      <c r="C32" s="303" t="str">
        <f>IF(C30-G30&lt;0,G30-C30,"-")</f>
        <v>-</v>
      </c>
      <c r="D32" s="303">
        <f>IF(D30-H30&lt;0,H30-D30,"-")</f>
        <v>15786249</v>
      </c>
      <c r="E32" s="303" t="str">
        <f>IF(E30-I30&lt;0,I30-E30,"-")</f>
        <v>-</v>
      </c>
      <c r="F32" s="135" t="s">
        <v>490</v>
      </c>
      <c r="G32" s="303" t="str">
        <f>IF(C30-G30&gt;0,C30-G30,"-")</f>
        <v>-</v>
      </c>
      <c r="H32" s="303" t="str">
        <f>IF(D30-H30&gt;0,D30-H30,"-")</f>
        <v>-</v>
      </c>
      <c r="I32" s="303">
        <f>IF(E30-I30&gt;0,E30-I30,"-")</f>
        <v>40572811</v>
      </c>
      <c r="J32" s="827"/>
    </row>
    <row r="33" spans="2:10" ht="18.75">
      <c r="B33" s="826"/>
      <c r="C33" s="826"/>
      <c r="D33" s="826"/>
      <c r="E33" s="826"/>
      <c r="F33" s="826"/>
      <c r="J33" s="827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C16">
      <selection activeCell="J34" sqref="J34"/>
    </sheetView>
  </sheetViews>
  <sheetFormatPr defaultColWidth="9.00390625" defaultRowHeight="12.75"/>
  <cols>
    <col min="1" max="1" width="6.875" style="33" customWidth="1"/>
    <col min="2" max="2" width="49.875" style="71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338"/>
      <c r="B1" s="344" t="s">
        <v>107</v>
      </c>
      <c r="C1" s="345"/>
      <c r="D1" s="345"/>
      <c r="E1" s="345"/>
      <c r="F1" s="345"/>
      <c r="G1" s="345"/>
      <c r="H1" s="345"/>
      <c r="I1" s="345"/>
      <c r="J1" s="827" t="s">
        <v>976</v>
      </c>
    </row>
    <row r="2" spans="1:10" ht="14.25" thickBot="1">
      <c r="A2" s="338"/>
      <c r="B2" s="337"/>
      <c r="C2" s="338"/>
      <c r="D2" s="338"/>
      <c r="E2" s="338"/>
      <c r="F2" s="338"/>
      <c r="G2" s="346"/>
      <c r="H2" s="346"/>
      <c r="I2" s="346" t="str">
        <f>5!I2</f>
        <v> Forintban!</v>
      </c>
      <c r="J2" s="827"/>
    </row>
    <row r="3" spans="1:10" ht="13.5" customHeight="1" thickBot="1">
      <c r="A3" s="824" t="s">
        <v>51</v>
      </c>
      <c r="B3" s="347" t="s">
        <v>39</v>
      </c>
      <c r="C3" s="348"/>
      <c r="D3" s="349"/>
      <c r="E3" s="349"/>
      <c r="F3" s="347" t="s">
        <v>40</v>
      </c>
      <c r="G3" s="350"/>
      <c r="H3" s="351"/>
      <c r="I3" s="352"/>
      <c r="J3" s="827"/>
    </row>
    <row r="4" spans="1:10" s="122" customFormat="1" ht="36.75" thickBot="1">
      <c r="A4" s="825"/>
      <c r="B4" s="340" t="s">
        <v>44</v>
      </c>
      <c r="C4" s="310" t="str">
        <f>+CONCATENATE('1 '!C8," eredeti előirányzat")</f>
        <v>2020. évi eredeti előirányzat</v>
      </c>
      <c r="D4" s="308" t="str">
        <f>+CONCATENATE('1 '!C8," módosított előirányzat")</f>
        <v>2020. évi módosított előirányzat</v>
      </c>
      <c r="E4" s="308" t="str">
        <f>CONCATENATE(5!E4)</f>
        <v>2020. XII. 31.
teljesítés</v>
      </c>
      <c r="F4" s="340" t="s">
        <v>44</v>
      </c>
      <c r="G4" s="310" t="str">
        <f>+C4</f>
        <v>2020. évi eredeti előirányzat</v>
      </c>
      <c r="H4" s="310" t="str">
        <f>+D4</f>
        <v>2020. évi módosított előirányzat</v>
      </c>
      <c r="I4" s="309" t="str">
        <f>+E4</f>
        <v>2020. XII. 31.
teljesítés</v>
      </c>
      <c r="J4" s="827"/>
    </row>
    <row r="5" spans="1:10" s="122" customFormat="1" ht="13.5" thickBot="1">
      <c r="A5" s="353" t="s">
        <v>386</v>
      </c>
      <c r="B5" s="354" t="s">
        <v>387</v>
      </c>
      <c r="C5" s="355" t="s">
        <v>388</v>
      </c>
      <c r="D5" s="355" t="s">
        <v>390</v>
      </c>
      <c r="E5" s="355" t="s">
        <v>389</v>
      </c>
      <c r="F5" s="354" t="s">
        <v>391</v>
      </c>
      <c r="G5" s="355" t="s">
        <v>392</v>
      </c>
      <c r="H5" s="356" t="s">
        <v>393</v>
      </c>
      <c r="I5" s="357" t="s">
        <v>424</v>
      </c>
      <c r="J5" s="827"/>
    </row>
    <row r="6" spans="1:10" ht="12.75" customHeight="1">
      <c r="A6" s="124" t="s">
        <v>6</v>
      </c>
      <c r="B6" s="125" t="s">
        <v>287</v>
      </c>
      <c r="C6" s="115">
        <v>4830488</v>
      </c>
      <c r="D6" s="115">
        <v>22151088</v>
      </c>
      <c r="E6" s="115">
        <v>44448258</v>
      </c>
      <c r="F6" s="125" t="s">
        <v>143</v>
      </c>
      <c r="G6" s="115">
        <v>184401849</v>
      </c>
      <c r="H6" s="272">
        <v>192227008</v>
      </c>
      <c r="I6" s="145">
        <v>68448898</v>
      </c>
      <c r="J6" s="827"/>
    </row>
    <row r="7" spans="1:10" ht="12.75">
      <c r="A7" s="126" t="s">
        <v>7</v>
      </c>
      <c r="B7" s="127" t="s">
        <v>288</v>
      </c>
      <c r="C7" s="116"/>
      <c r="D7" s="116"/>
      <c r="E7" s="116"/>
      <c r="F7" s="127" t="s">
        <v>293</v>
      </c>
      <c r="G7" s="116"/>
      <c r="H7" s="116"/>
      <c r="I7" s="264"/>
      <c r="J7" s="827"/>
    </row>
    <row r="8" spans="1:10" ht="12.75" customHeight="1">
      <c r="A8" s="126" t="s">
        <v>8</v>
      </c>
      <c r="B8" s="127" t="s">
        <v>1</v>
      </c>
      <c r="C8" s="116"/>
      <c r="D8" s="116">
        <v>6200000</v>
      </c>
      <c r="E8" s="116">
        <v>2266874</v>
      </c>
      <c r="F8" s="127" t="s">
        <v>126</v>
      </c>
      <c r="G8" s="116">
        <v>14277212</v>
      </c>
      <c r="H8" s="116">
        <v>14186404</v>
      </c>
      <c r="I8" s="264">
        <v>12577869</v>
      </c>
      <c r="J8" s="827"/>
    </row>
    <row r="9" spans="1:10" ht="12.75" customHeight="1">
      <c r="A9" s="126" t="s">
        <v>9</v>
      </c>
      <c r="B9" s="127" t="s">
        <v>289</v>
      </c>
      <c r="C9" s="116">
        <v>2936000</v>
      </c>
      <c r="D9" s="116">
        <v>2936000</v>
      </c>
      <c r="E9" s="116"/>
      <c r="F9" s="127" t="s">
        <v>294</v>
      </c>
      <c r="G9" s="116"/>
      <c r="H9" s="116"/>
      <c r="I9" s="264"/>
      <c r="J9" s="827"/>
    </row>
    <row r="10" spans="1:10" ht="12.75" customHeight="1">
      <c r="A10" s="126" t="s">
        <v>10</v>
      </c>
      <c r="B10" s="127" t="s">
        <v>290</v>
      </c>
      <c r="C10" s="116"/>
      <c r="D10" s="116"/>
      <c r="E10" s="116"/>
      <c r="F10" s="127" t="s">
        <v>145</v>
      </c>
      <c r="G10" s="116"/>
      <c r="H10" s="116"/>
      <c r="I10" s="264"/>
      <c r="J10" s="827"/>
    </row>
    <row r="11" spans="1:10" ht="12.75" customHeight="1">
      <c r="A11" s="126" t="s">
        <v>11</v>
      </c>
      <c r="B11" s="127" t="s">
        <v>291</v>
      </c>
      <c r="C11" s="117"/>
      <c r="D11" s="117"/>
      <c r="E11" s="117"/>
      <c r="F11" s="194"/>
      <c r="G11" s="116"/>
      <c r="H11" s="116"/>
      <c r="I11" s="264"/>
      <c r="J11" s="827"/>
    </row>
    <row r="12" spans="1:10" ht="12.75" customHeight="1">
      <c r="A12" s="126" t="s">
        <v>12</v>
      </c>
      <c r="B12" s="30"/>
      <c r="C12" s="116"/>
      <c r="D12" s="116"/>
      <c r="E12" s="116"/>
      <c r="F12" s="194"/>
      <c r="G12" s="116"/>
      <c r="H12" s="116"/>
      <c r="I12" s="264"/>
      <c r="J12" s="827"/>
    </row>
    <row r="13" spans="1:10" ht="12.75" customHeight="1">
      <c r="A13" s="126" t="s">
        <v>13</v>
      </c>
      <c r="B13" s="30"/>
      <c r="C13" s="116"/>
      <c r="D13" s="116"/>
      <c r="E13" s="116"/>
      <c r="F13" s="195"/>
      <c r="G13" s="116"/>
      <c r="H13" s="116"/>
      <c r="I13" s="264"/>
      <c r="J13" s="827"/>
    </row>
    <row r="14" spans="1:10" ht="12.75" customHeight="1">
      <c r="A14" s="126" t="s">
        <v>14</v>
      </c>
      <c r="B14" s="192"/>
      <c r="C14" s="117"/>
      <c r="D14" s="117"/>
      <c r="E14" s="117"/>
      <c r="F14" s="194"/>
      <c r="G14" s="116"/>
      <c r="H14" s="116"/>
      <c r="I14" s="264"/>
      <c r="J14" s="827"/>
    </row>
    <row r="15" spans="1:10" ht="12.75">
      <c r="A15" s="126" t="s">
        <v>15</v>
      </c>
      <c r="B15" s="30"/>
      <c r="C15" s="117"/>
      <c r="D15" s="117"/>
      <c r="E15" s="117"/>
      <c r="F15" s="194"/>
      <c r="G15" s="116"/>
      <c r="H15" s="116"/>
      <c r="I15" s="264"/>
      <c r="J15" s="827"/>
    </row>
    <row r="16" spans="1:10" ht="12.75" customHeight="1" thickBot="1">
      <c r="A16" s="162" t="s">
        <v>16</v>
      </c>
      <c r="B16" s="193"/>
      <c r="C16" s="164"/>
      <c r="D16" s="164"/>
      <c r="E16" s="164"/>
      <c r="F16" s="163" t="s">
        <v>36</v>
      </c>
      <c r="G16" s="270"/>
      <c r="H16" s="270"/>
      <c r="I16" s="268"/>
      <c r="J16" s="827"/>
    </row>
    <row r="17" spans="1:10" ht="15.75" customHeight="1" thickBot="1">
      <c r="A17" s="129" t="s">
        <v>17</v>
      </c>
      <c r="B17" s="57" t="s">
        <v>301</v>
      </c>
      <c r="C17" s="119">
        <f>+C6+C8+C9+C11+C12+C13+C14+C15+C16</f>
        <v>7766488</v>
      </c>
      <c r="D17" s="119">
        <f>+D6+D8+D9+D11+D12+D13+D14+D15+D16</f>
        <v>31287088</v>
      </c>
      <c r="E17" s="119">
        <f>+E6+E8+E9+E11+E12+E13+E14+E15+E16</f>
        <v>46715132</v>
      </c>
      <c r="F17" s="57" t="s">
        <v>302</v>
      </c>
      <c r="G17" s="119">
        <f>+G6+G8+G10+G11+G12+G13+G14+G15+G16</f>
        <v>198679061</v>
      </c>
      <c r="H17" s="119">
        <f>+H6+H8+H10+H11+H12+H13+H14+H15+H16</f>
        <v>206413412</v>
      </c>
      <c r="I17" s="147">
        <f>+I6+I8+I10+I11+I12+I13+I14+I15+I16</f>
        <v>81026767</v>
      </c>
      <c r="J17" s="827"/>
    </row>
    <row r="18" spans="1:10" ht="12.75" customHeight="1">
      <c r="A18" s="124" t="s">
        <v>18</v>
      </c>
      <c r="B18" s="137" t="s">
        <v>161</v>
      </c>
      <c r="C18" s="144">
        <f>+C19+C20+C21+C22+C23</f>
        <v>190912573</v>
      </c>
      <c r="D18" s="144">
        <f>+D19+D20+D21+D22+D23</f>
        <v>190912573</v>
      </c>
      <c r="E18" s="144">
        <f>+E19+E20+E21+E22+E23</f>
        <v>190912573</v>
      </c>
      <c r="F18" s="132" t="s">
        <v>130</v>
      </c>
      <c r="G18" s="271"/>
      <c r="H18" s="271"/>
      <c r="I18" s="269"/>
      <c r="J18" s="827"/>
    </row>
    <row r="19" spans="1:10" ht="12.75" customHeight="1">
      <c r="A19" s="126" t="s">
        <v>19</v>
      </c>
      <c r="B19" s="138" t="s">
        <v>150</v>
      </c>
      <c r="C19" s="48">
        <v>190912573</v>
      </c>
      <c r="D19" s="48">
        <v>190912573</v>
      </c>
      <c r="E19" s="48">
        <v>190912573</v>
      </c>
      <c r="F19" s="132" t="s">
        <v>133</v>
      </c>
      <c r="G19" s="48"/>
      <c r="H19" s="48"/>
      <c r="I19" s="267"/>
      <c r="J19" s="827"/>
    </row>
    <row r="20" spans="1:10" ht="12.75" customHeight="1">
      <c r="A20" s="124" t="s">
        <v>20</v>
      </c>
      <c r="B20" s="138" t="s">
        <v>151</v>
      </c>
      <c r="C20" s="48"/>
      <c r="D20" s="48"/>
      <c r="E20" s="48"/>
      <c r="F20" s="132" t="s">
        <v>104</v>
      </c>
      <c r="G20" s="48"/>
      <c r="H20" s="48"/>
      <c r="I20" s="267"/>
      <c r="J20" s="827"/>
    </row>
    <row r="21" spans="1:10" ht="12.75" customHeight="1">
      <c r="A21" s="126" t="s">
        <v>21</v>
      </c>
      <c r="B21" s="138" t="s">
        <v>152</v>
      </c>
      <c r="C21" s="48"/>
      <c r="D21" s="48"/>
      <c r="E21" s="48"/>
      <c r="F21" s="132" t="s">
        <v>105</v>
      </c>
      <c r="G21" s="48"/>
      <c r="H21" s="48"/>
      <c r="I21" s="267"/>
      <c r="J21" s="827"/>
    </row>
    <row r="22" spans="1:10" ht="12.75" customHeight="1">
      <c r="A22" s="124" t="s">
        <v>22</v>
      </c>
      <c r="B22" s="138" t="s">
        <v>153</v>
      </c>
      <c r="C22" s="48"/>
      <c r="D22" s="48"/>
      <c r="E22" s="48"/>
      <c r="F22" s="131" t="s">
        <v>149</v>
      </c>
      <c r="G22" s="48"/>
      <c r="H22" s="48"/>
      <c r="I22" s="267"/>
      <c r="J22" s="827"/>
    </row>
    <row r="23" spans="1:10" ht="12.75" customHeight="1">
      <c r="A23" s="126" t="s">
        <v>23</v>
      </c>
      <c r="B23" s="139" t="s">
        <v>154</v>
      </c>
      <c r="C23" s="48"/>
      <c r="D23" s="48"/>
      <c r="E23" s="48"/>
      <c r="F23" s="132" t="s">
        <v>134</v>
      </c>
      <c r="G23" s="48"/>
      <c r="H23" s="48"/>
      <c r="I23" s="267"/>
      <c r="J23" s="827"/>
    </row>
    <row r="24" spans="1:10" ht="12.75" customHeight="1">
      <c r="A24" s="124" t="s">
        <v>24</v>
      </c>
      <c r="B24" s="140" t="s">
        <v>155</v>
      </c>
      <c r="C24" s="134">
        <f>+C25+C26+C27+C28+C29</f>
        <v>0</v>
      </c>
      <c r="D24" s="134">
        <f>+D25+D26+D27+D28+D29</f>
        <v>0</v>
      </c>
      <c r="E24" s="134">
        <f>+E25+E26+E27+E28+E29</f>
        <v>0</v>
      </c>
      <c r="F24" s="141" t="s">
        <v>132</v>
      </c>
      <c r="G24" s="48"/>
      <c r="H24" s="48"/>
      <c r="I24" s="267"/>
      <c r="J24" s="827"/>
    </row>
    <row r="25" spans="1:10" ht="12.75" customHeight="1">
      <c r="A25" s="126" t="s">
        <v>25</v>
      </c>
      <c r="B25" s="139" t="s">
        <v>156</v>
      </c>
      <c r="C25" s="48"/>
      <c r="D25" s="48"/>
      <c r="E25" s="48"/>
      <c r="F25" s="141" t="s">
        <v>295</v>
      </c>
      <c r="G25" s="48"/>
      <c r="H25" s="48"/>
      <c r="I25" s="267"/>
      <c r="J25" s="827"/>
    </row>
    <row r="26" spans="1:10" ht="12.75" customHeight="1">
      <c r="A26" s="124" t="s">
        <v>26</v>
      </c>
      <c r="B26" s="139" t="s">
        <v>157</v>
      </c>
      <c r="C26" s="48"/>
      <c r="D26" s="48"/>
      <c r="E26" s="48"/>
      <c r="F26" s="136"/>
      <c r="G26" s="48"/>
      <c r="H26" s="48"/>
      <c r="I26" s="267"/>
      <c r="J26" s="827"/>
    </row>
    <row r="27" spans="1:10" ht="12.75" customHeight="1">
      <c r="A27" s="126" t="s">
        <v>27</v>
      </c>
      <c r="B27" s="138" t="s">
        <v>158</v>
      </c>
      <c r="C27" s="48"/>
      <c r="D27" s="48"/>
      <c r="E27" s="48"/>
      <c r="F27" s="55"/>
      <c r="G27" s="48"/>
      <c r="H27" s="48"/>
      <c r="I27" s="267"/>
      <c r="J27" s="827"/>
    </row>
    <row r="28" spans="1:10" ht="12.75" customHeight="1">
      <c r="A28" s="124" t="s">
        <v>28</v>
      </c>
      <c r="B28" s="142" t="s">
        <v>159</v>
      </c>
      <c r="C28" s="48"/>
      <c r="D28" s="48"/>
      <c r="E28" s="48"/>
      <c r="F28" s="30"/>
      <c r="G28" s="48"/>
      <c r="H28" s="48"/>
      <c r="I28" s="267"/>
      <c r="J28" s="827"/>
    </row>
    <row r="29" spans="1:10" ht="12.75" customHeight="1" thickBot="1">
      <c r="A29" s="126" t="s">
        <v>29</v>
      </c>
      <c r="B29" s="143" t="s">
        <v>160</v>
      </c>
      <c r="C29" s="48"/>
      <c r="D29" s="48"/>
      <c r="E29" s="48"/>
      <c r="F29" s="55"/>
      <c r="G29" s="48"/>
      <c r="H29" s="48"/>
      <c r="I29" s="267"/>
      <c r="J29" s="827"/>
    </row>
    <row r="30" spans="1:10" ht="21.75" customHeight="1" thickBot="1">
      <c r="A30" s="129" t="s">
        <v>30</v>
      </c>
      <c r="B30" s="57" t="s">
        <v>292</v>
      </c>
      <c r="C30" s="119">
        <f>+C18+C24</f>
        <v>190912573</v>
      </c>
      <c r="D30" s="119">
        <f>+D18+D24</f>
        <v>190912573</v>
      </c>
      <c r="E30" s="119">
        <f>+E18+E24</f>
        <v>190912573</v>
      </c>
      <c r="F30" s="57" t="s">
        <v>296</v>
      </c>
      <c r="G30" s="119">
        <f>SUM(G18:G29)</f>
        <v>0</v>
      </c>
      <c r="H30" s="119">
        <f>SUM(H18:H29)</f>
        <v>0</v>
      </c>
      <c r="I30" s="147">
        <f>SUM(I18:I29)</f>
        <v>0</v>
      </c>
      <c r="J30" s="827"/>
    </row>
    <row r="31" spans="1:10" ht="13.5" thickBot="1">
      <c r="A31" s="129" t="s">
        <v>31</v>
      </c>
      <c r="B31" s="135" t="s">
        <v>297</v>
      </c>
      <c r="C31" s="303">
        <f>+C17+C30</f>
        <v>198679061</v>
      </c>
      <c r="D31" s="303">
        <f>+D17+D30</f>
        <v>222199661</v>
      </c>
      <c r="E31" s="304">
        <f>+E17+E30</f>
        <v>237627705</v>
      </c>
      <c r="F31" s="135" t="s">
        <v>298</v>
      </c>
      <c r="G31" s="303">
        <f>+G17+G30</f>
        <v>198679061</v>
      </c>
      <c r="H31" s="303">
        <f>+H17+H30</f>
        <v>206413412</v>
      </c>
      <c r="I31" s="304">
        <f>+I17+I30</f>
        <v>81026767</v>
      </c>
      <c r="J31" s="827"/>
    </row>
    <row r="32" spans="1:10" ht="13.5" thickBot="1">
      <c r="A32" s="129" t="s">
        <v>32</v>
      </c>
      <c r="B32" s="135" t="s">
        <v>108</v>
      </c>
      <c r="C32" s="303">
        <f>IF(C17-G17&lt;0,G17-C17,"-")</f>
        <v>190912573</v>
      </c>
      <c r="D32" s="303">
        <f>IF(D17-H17&lt;0,H17-D17,"-")</f>
        <v>175126324</v>
      </c>
      <c r="E32" s="304">
        <f>IF(E17-I17&lt;0,I17-E17,"-")</f>
        <v>34311635</v>
      </c>
      <c r="F32" s="135" t="s">
        <v>109</v>
      </c>
      <c r="G32" s="303" t="str">
        <f>IF(C17-G17&gt;0,C17-G17,"-")</f>
        <v>-</v>
      </c>
      <c r="H32" s="303" t="str">
        <f>IF(D17-H17&gt;0,D17-H17,"-")</f>
        <v>-</v>
      </c>
      <c r="I32" s="304" t="str">
        <f>IF(E17-I17&gt;0,E17-I17,"-")</f>
        <v>-</v>
      </c>
      <c r="J32" s="827"/>
    </row>
    <row r="33" spans="1:10" ht="13.5" thickBot="1">
      <c r="A33" s="129" t="s">
        <v>33</v>
      </c>
      <c r="B33" s="135" t="s">
        <v>489</v>
      </c>
      <c r="C33" s="303" t="str">
        <f>IF(C31-G31&lt;0,G31-C31,"-")</f>
        <v>-</v>
      </c>
      <c r="D33" s="303" t="str">
        <f>IF(D31-H31&lt;0,H31-D31,"-")</f>
        <v>-</v>
      </c>
      <c r="E33" s="303" t="str">
        <f>IF(E31-I31&lt;0,I31-E31,"-")</f>
        <v>-</v>
      </c>
      <c r="F33" s="135" t="s">
        <v>490</v>
      </c>
      <c r="G33" s="303" t="str">
        <f>IF(C31-G31&gt;0,C31-G31,"-")</f>
        <v>-</v>
      </c>
      <c r="H33" s="303">
        <f>IF(D31-H31&gt;0,D31-H31,"-")</f>
        <v>15786249</v>
      </c>
      <c r="I33" s="303">
        <f>IF(E31-I31&gt;0,E31-I31,"-")</f>
        <v>156600938</v>
      </c>
      <c r="J33" s="827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Béres Bálint</cp:lastModifiedBy>
  <cp:lastPrinted>2021-05-19T07:06:49Z</cp:lastPrinted>
  <dcterms:created xsi:type="dcterms:W3CDTF">1999-10-30T10:30:45Z</dcterms:created>
  <dcterms:modified xsi:type="dcterms:W3CDTF">2021-05-19T07:23:12Z</dcterms:modified>
  <cp:category/>
  <cp:version/>
  <cp:contentType/>
  <cp:contentStatus/>
</cp:coreProperties>
</file>